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335" windowHeight="6240" tabRatio="853" firstSheet="3" activeTab="1"/>
  </bookViews>
  <sheets>
    <sheet name="Control" sheetId="1" state="hidden" r:id="rId1"/>
    <sheet name="U18B Team Listing" sheetId="2" r:id="rId2"/>
    <sheet name="U18B Draws" sheetId="3" r:id="rId3"/>
    <sheet name="U18G Team Listing" sheetId="4" r:id="rId4"/>
    <sheet name="U18G Draws" sheetId="5" r:id="rId5"/>
    <sheet name="U15B Team Listing" sheetId="6" r:id="rId6"/>
    <sheet name="U15B Draws" sheetId="7" r:id="rId7"/>
    <sheet name="U15G &amp; U13G Team Listing" sheetId="8" r:id="rId8"/>
    <sheet name="U15G &amp; U13G Draws" sheetId="9" r:id="rId9"/>
    <sheet name="U13B Team Listing" sheetId="10" r:id="rId10"/>
    <sheet name="U13B Draws" sheetId="11" r:id="rId11"/>
    <sheet name="4TF0" sheetId="12" state="hidden" r:id="rId12"/>
    <sheet name="6TF0" sheetId="13" state="hidden" r:id="rId13"/>
    <sheet name="8TF0" sheetId="14" state="hidden" r:id="rId14"/>
    <sheet name="9TF0 " sheetId="15" state="hidden" r:id="rId15"/>
    <sheet name="9bTF0" sheetId="16" state="hidden" r:id="rId16"/>
    <sheet name="4T0" sheetId="17" state="hidden" r:id="rId17"/>
    <sheet name="6T0 " sheetId="18" state="hidden" r:id="rId18"/>
    <sheet name="8T0 " sheetId="19" state="hidden" r:id="rId19"/>
    <sheet name="9T0" sheetId="20" state="hidden" r:id="rId20"/>
  </sheets>
  <definedNames>
    <definedName name="clubs">'Control'!$A$70:$B$84</definedName>
    <definedName name="_xlnm.Print_Area" localSheetId="16">'4T0'!$A$1:$H$15</definedName>
    <definedName name="_xlnm.Print_Area" localSheetId="11">'4TF0'!$A$1:$H$30</definedName>
    <definedName name="_xlnm.Print_Area" localSheetId="17">'6T0 '!$A$1:$J$26</definedName>
    <definedName name="_xlnm.Print_Area" localSheetId="12">'6TF0'!$A$1:$J$33</definedName>
    <definedName name="_xlnm.Print_Area" localSheetId="18">'8T0 '!$A$1:$Q$34</definedName>
    <definedName name="_xlnm.Print_Area" localSheetId="13">'8TF0'!$A$1:$Q$40</definedName>
    <definedName name="_xlnm.Print_Area" localSheetId="15">'9bTF0'!$A$1:$W$44</definedName>
    <definedName name="_xlnm.Print_Area" localSheetId="19">'9T0'!$A$1:$W$33</definedName>
    <definedName name="_xlnm.Print_Area" localSheetId="14">'9TF0 '!$A$1:$W$35</definedName>
    <definedName name="_xlnm.Print_Area" localSheetId="0">'Control'!$A$1:$B$30</definedName>
    <definedName name="_xlnm.Print_Area" localSheetId="10">'U13B Draws'!$A$1:$Q$35</definedName>
    <definedName name="_xlnm.Print_Area" localSheetId="6">'U15B Draws'!$A$1:$Q$35</definedName>
    <definedName name="_xlnm.Print_Area" localSheetId="8">'U15G &amp; U13G Draws'!$A$1:$Q$35</definedName>
    <definedName name="_xlnm.Print_Area" localSheetId="2">'U18B Draws'!$A$1:$Q$24</definedName>
    <definedName name="_xlnm.Print_Area" localSheetId="4">'U18G Draws'!$A$1:$Q$20</definedName>
    <definedName name="RANGE">#REF!</definedName>
    <definedName name="times">'Control'!$A$45:$B$65</definedName>
  </definedNames>
  <calcPr fullCalcOnLoad="1"/>
</workbook>
</file>

<file path=xl/sharedStrings.xml><?xml version="1.0" encoding="utf-8"?>
<sst xmlns="http://schemas.openxmlformats.org/spreadsheetml/2006/main" count="1122" uniqueCount="383">
  <si>
    <t>Wins</t>
  </si>
  <si>
    <t>Placing</t>
  </si>
  <si>
    <t xml:space="preserve"> </t>
  </si>
  <si>
    <t>Final:</t>
  </si>
  <si>
    <t>Section A</t>
  </si>
  <si>
    <t>Section B</t>
  </si>
  <si>
    <t>Section C</t>
  </si>
  <si>
    <t>Subsidiary Contests:</t>
  </si>
  <si>
    <t>X2</t>
  </si>
  <si>
    <t>Schedule:</t>
  </si>
  <si>
    <t>1 v 4</t>
  </si>
  <si>
    <t>2 v 4</t>
  </si>
  <si>
    <t>2 v 3</t>
  </si>
  <si>
    <t>1 v 3</t>
  </si>
  <si>
    <t>1 v 2</t>
  </si>
  <si>
    <t>3 v 5</t>
  </si>
  <si>
    <t>4 v 6</t>
  </si>
  <si>
    <t>4 v 5</t>
  </si>
  <si>
    <t>3 v 4</t>
  </si>
  <si>
    <t>6 v 1</t>
  </si>
  <si>
    <t>6 v 2</t>
  </si>
  <si>
    <t>5 v 6</t>
  </si>
  <si>
    <t>4 v 1</t>
  </si>
  <si>
    <t>3 v 1</t>
  </si>
  <si>
    <t>4 v 2</t>
  </si>
  <si>
    <t>5 v 2</t>
  </si>
  <si>
    <t>Stage 1</t>
  </si>
  <si>
    <t>Stage 2</t>
  </si>
  <si>
    <t>6 v 3</t>
  </si>
  <si>
    <t>5 v 1</t>
  </si>
  <si>
    <t>Notes:</t>
  </si>
  <si>
    <t>3. The results of the contests played in the 1st stage between teams progressing to the same 2nd stage group shall be carried forward.</t>
  </si>
  <si>
    <t xml:space="preserve">2. For the final, the top qualifying team shall have the right to choose A,B,C or X,Y,Z </t>
  </si>
  <si>
    <t xml:space="preserve">    provided that the choice is advised to the Tournament Controller at least 15 minutes prior to the scheduled start time.</t>
  </si>
  <si>
    <t>1. The 1st team designated in the draw shall have the left hand side (A,B,C) of the result sheet.</t>
  </si>
  <si>
    <t>X1 v X2</t>
  </si>
  <si>
    <t>X4 v X3</t>
  </si>
  <si>
    <t>X2 v X4</t>
  </si>
  <si>
    <t>X3 v X1</t>
  </si>
  <si>
    <t>Y3 v Y1</t>
  </si>
  <si>
    <t>Y1 v Y2</t>
  </si>
  <si>
    <t>Y4 v Y3</t>
  </si>
  <si>
    <t>Y2 v Y4</t>
  </si>
  <si>
    <t>A3 v A1</t>
  </si>
  <si>
    <t>A4 v A2</t>
  </si>
  <si>
    <t>B3 v B1</t>
  </si>
  <si>
    <t>B4 v B2</t>
  </si>
  <si>
    <t>A2 v A3</t>
  </si>
  <si>
    <t>A1 v A4</t>
  </si>
  <si>
    <t>B2 v B3</t>
  </si>
  <si>
    <t>B1 v B4</t>
  </si>
  <si>
    <t>A1 v A2</t>
  </si>
  <si>
    <t>A3 v A4</t>
  </si>
  <si>
    <t>B3 V B4</t>
  </si>
  <si>
    <t>B1 v B2</t>
  </si>
  <si>
    <t>-------------------------------------------------------------------------------------------------------------------------</t>
  </si>
  <si>
    <t>A#1</t>
  </si>
  <si>
    <t>B#1</t>
  </si>
  <si>
    <t>B#2</t>
  </si>
  <si>
    <t>A#2</t>
  </si>
  <si>
    <t>A#3</t>
  </si>
  <si>
    <t>B#3</t>
  </si>
  <si>
    <t>B#4</t>
  </si>
  <si>
    <t>A#4</t>
  </si>
  <si>
    <t xml:space="preserve"> Section X    (Positions 1-4)</t>
  </si>
  <si>
    <t xml:space="preserve"> Section Y    (Positions 5-8)</t>
  </si>
  <si>
    <t>-------------------------------------------------------------------------------------------------</t>
  </si>
  <si>
    <t xml:space="preserve">    provided that the choice is advised to the Tournament Controller at least 15 minutes </t>
  </si>
  <si>
    <t xml:space="preserve">    prior to the scheduled start time.</t>
  </si>
  <si>
    <t xml:space="preserve">    result sheet.</t>
  </si>
  <si>
    <t xml:space="preserve">1. The team designated 1st in the draw shall have the left hand side (A,B,C) of the </t>
  </si>
  <si>
    <t>C1 v C2</t>
  </si>
  <si>
    <t>C2 v C3</t>
  </si>
  <si>
    <t>C3 v C1</t>
  </si>
  <si>
    <t>Section X Positions 1-3</t>
  </si>
  <si>
    <t>Section Y Positions 4-6</t>
  </si>
  <si>
    <t>Section Z Positions 7-9</t>
  </si>
  <si>
    <t>C#1</t>
  </si>
  <si>
    <t>C#2</t>
  </si>
  <si>
    <t>C#3</t>
  </si>
  <si>
    <t>X3</t>
  </si>
  <si>
    <t>Y2</t>
  </si>
  <si>
    <t>Y1</t>
  </si>
  <si>
    <t>Y3</t>
  </si>
  <si>
    <t>Z2</t>
  </si>
  <si>
    <t>Z1</t>
  </si>
  <si>
    <t>X2 v X3</t>
  </si>
  <si>
    <t>Y2 v Y3</t>
  </si>
  <si>
    <t>Z2 v Z3</t>
  </si>
  <si>
    <t>Z1 v Z2</t>
  </si>
  <si>
    <t>Z3 v Z1</t>
  </si>
  <si>
    <t>X3 v Y2</t>
  </si>
  <si>
    <t>X2 v Y1</t>
  </si>
  <si>
    <t>Y3 v Z2</t>
  </si>
  <si>
    <t>1. The team designated 1st in the draw shall have the left hand side (A,B,C) of the result sheet.</t>
  </si>
  <si>
    <t>2. For the final, the top qualifying team shall have the right to choose A,B,C or X,Y,Z, provided that the choice is advised to the Tournament Controller at least 15 minutes prior to the scheduled start time.</t>
  </si>
  <si>
    <t xml:space="preserve">Table </t>
  </si>
  <si>
    <t>2. The results of the contests played in the 1st stage between teams progressing to the same 2nd stage group shall be carried forward.</t>
  </si>
  <si>
    <t>9 team grade with final</t>
  </si>
  <si>
    <t>Shield name</t>
  </si>
  <si>
    <t>5/6 team grade with final</t>
  </si>
  <si>
    <t>7/8 team grade with final</t>
  </si>
  <si>
    <t>5/6 team grade without final</t>
  </si>
  <si>
    <t>7/8 team grade without final</t>
  </si>
  <si>
    <t>9 team grade without final</t>
  </si>
  <si>
    <t>3/4 team grade without final</t>
  </si>
  <si>
    <t>Wellington</t>
  </si>
  <si>
    <t>Southland</t>
  </si>
  <si>
    <t>Waikato</t>
  </si>
  <si>
    <t>Northland</t>
  </si>
  <si>
    <t>Canterbury</t>
  </si>
  <si>
    <t>New Caledonia</t>
  </si>
  <si>
    <t>Men's A Grade</t>
  </si>
  <si>
    <t>Kean Challenge Shield</t>
  </si>
  <si>
    <t>Men's B Grade</t>
  </si>
  <si>
    <t>Russell Algie Shield</t>
  </si>
  <si>
    <t>Men's C Grade</t>
  </si>
  <si>
    <t>Trevor Flint Shield</t>
  </si>
  <si>
    <t>Women's A Grade</t>
  </si>
  <si>
    <t>Women's B Grade</t>
  </si>
  <si>
    <t>Canterbury Shield</t>
  </si>
  <si>
    <t>Women's C Grade</t>
  </si>
  <si>
    <t>Mr &amp; Mrs S A Bremford Shield</t>
  </si>
  <si>
    <t>Over 45 years Men</t>
  </si>
  <si>
    <t xml:space="preserve">  </t>
  </si>
  <si>
    <t>Over 45 years Women</t>
  </si>
  <si>
    <t>Over 55 years Women</t>
  </si>
  <si>
    <t>Over 45/55 years Women</t>
  </si>
  <si>
    <t>Under 19 years Boys' A Grade</t>
  </si>
  <si>
    <t>Under 19 years Boys' B Grade</t>
  </si>
  <si>
    <t>Under 19 years Boys' C Grade</t>
  </si>
  <si>
    <t>Under 19 years Girls' A Grade</t>
  </si>
  <si>
    <t>Under 19 years Girls' B Grade</t>
  </si>
  <si>
    <t>Under 15 years Boys' A Grade</t>
  </si>
  <si>
    <t>Under 15 years Boys' B Grade</t>
  </si>
  <si>
    <t>Mr &amp; Mrs R A Voice Shield</t>
  </si>
  <si>
    <t>Under 15 years Boys' C Grade</t>
  </si>
  <si>
    <t>Mid-Canterbury Shield</t>
  </si>
  <si>
    <t>Under 15 years Girls' A Grade</t>
  </si>
  <si>
    <t>Ron Gibbons Shield</t>
  </si>
  <si>
    <t>Under 15 years Girls' B Grade</t>
  </si>
  <si>
    <t>Under 15 years Girls' C Grade</t>
  </si>
  <si>
    <t>Nelson</t>
  </si>
  <si>
    <t xml:space="preserve">1. The team designated 1st in the draw shall have the left hand side </t>
  </si>
  <si>
    <t xml:space="preserve">    (A,B,C) of the result sheet.</t>
  </si>
  <si>
    <t xml:space="preserve">2. For the final, the top qualifying team shall have the right to choose </t>
  </si>
  <si>
    <t xml:space="preserve">    A,B,C or X,Y,Z provided that the choice is advised to the Tournament</t>
  </si>
  <si>
    <t xml:space="preserve">    Controller at least 15 minutes prior to the scheduled start time.</t>
  </si>
  <si>
    <t>3/4 team grade with final</t>
  </si>
  <si>
    <t>Men's D Grade</t>
  </si>
  <si>
    <t>Wanganui Shield</t>
  </si>
  <si>
    <t>Women's D Grade</t>
  </si>
  <si>
    <t>Bay of Plenty Shield</t>
  </si>
  <si>
    <t>9</t>
  </si>
  <si>
    <t>2. handling of ties in groups is also not included</t>
  </si>
  <si>
    <t>can not "win" group stage or take part in final</t>
  </si>
  <si>
    <t>1. special rules for foreign teams are not applied - e.g. foreign teams</t>
  </si>
  <si>
    <t>------------------------------------------------------------------------------------------------------------------------ Stage 1 ------------------------------------------------------------------------------------------------------------------------</t>
  </si>
  <si>
    <t>------------------------------------------------------------------------------------------------------------------------ Stage 2 ------------------------------------------------------------------------------------------------------------------------</t>
  </si>
  <si>
    <t>Under 15 years Boys' D Grade</t>
  </si>
  <si>
    <t>Over 65 years Men</t>
  </si>
  <si>
    <t>Over 65 years Women</t>
  </si>
  <si>
    <t>Otago</t>
  </si>
  <si>
    <t>North Harbour</t>
  </si>
  <si>
    <t>Auckland</t>
  </si>
  <si>
    <t>Counties Manukau</t>
  </si>
  <si>
    <t>Waitemata</t>
  </si>
  <si>
    <t>Manawatu</t>
  </si>
  <si>
    <t>table</t>
  </si>
  <si>
    <t>timeslots</t>
  </si>
  <si>
    <t>bog</t>
  </si>
  <si>
    <t>Schedule</t>
  </si>
  <si>
    <t>FR</t>
  </si>
  <si>
    <t>SA</t>
  </si>
  <si>
    <t>Clubs</t>
  </si>
  <si>
    <t>A</t>
  </si>
  <si>
    <t>C</t>
  </si>
  <si>
    <t>MN</t>
  </si>
  <si>
    <t>NH</t>
  </si>
  <si>
    <t>NL</t>
  </si>
  <si>
    <t>O</t>
  </si>
  <si>
    <t>S</t>
  </si>
  <si>
    <t>W</t>
  </si>
  <si>
    <t>WK</t>
  </si>
  <si>
    <t>WT</t>
  </si>
  <si>
    <t>TH</t>
  </si>
  <si>
    <t>SU</t>
  </si>
  <si>
    <t>CM</t>
  </si>
  <si>
    <t>CK</t>
  </si>
  <si>
    <t>Cook Islands</t>
  </si>
  <si>
    <t>NC</t>
  </si>
  <si>
    <t>N</t>
  </si>
  <si>
    <t>2006 New Zealand Championships</t>
  </si>
  <si>
    <t>Over 55 years Men's A Grade</t>
  </si>
  <si>
    <t>Over 55 years Men's B Grade</t>
  </si>
  <si>
    <t>c</t>
  </si>
  <si>
    <t>w</t>
  </si>
  <si>
    <t>wk</t>
  </si>
  <si>
    <t>cm</t>
  </si>
  <si>
    <t>f-tbl</t>
  </si>
  <si>
    <t>nl</t>
  </si>
  <si>
    <t>T</t>
  </si>
  <si>
    <t>Bye</t>
  </si>
  <si>
    <t>FJ</t>
  </si>
  <si>
    <t>Fiji</t>
  </si>
  <si>
    <t>Lassen Shield</t>
  </si>
  <si>
    <t>Herbert G Teagle Memorial Challenge Shield</t>
  </si>
  <si>
    <t>Manawatu 50th Jubilee Shield</t>
  </si>
  <si>
    <t>Northern Hawkes Bay Shield</t>
  </si>
  <si>
    <t>Mid Canterbury Shield</t>
  </si>
  <si>
    <t>2010 Northern Districts Junior Round Robin</t>
  </si>
  <si>
    <t>Under 15 Boy's</t>
  </si>
  <si>
    <t>SA-0930</t>
  </si>
  <si>
    <t>SA-1130</t>
  </si>
  <si>
    <t>SA-1330</t>
  </si>
  <si>
    <t>SA-1530</t>
  </si>
  <si>
    <t>Under 18 Boy's</t>
  </si>
  <si>
    <t xml:space="preserve">2. For Stage 2, the top qualifying team shall have the right to choose A,B,C or X,Y,Z </t>
  </si>
  <si>
    <t>Under 15 &amp; Under 13 Girls'</t>
  </si>
  <si>
    <t>Under 13 Boy's</t>
  </si>
  <si>
    <t>11</t>
  </si>
  <si>
    <t>A1</t>
  </si>
  <si>
    <t>A2</t>
  </si>
  <si>
    <t>A3</t>
  </si>
  <si>
    <t>Y2 v Y1</t>
  </si>
  <si>
    <t>Y3 v Y4</t>
  </si>
  <si>
    <t>Team Listing</t>
  </si>
  <si>
    <t>Victor Ma</t>
  </si>
  <si>
    <t>Jeffrey Huang</t>
  </si>
  <si>
    <t>Alfred de la Pena</t>
  </si>
  <si>
    <t>Jerry Zhang</t>
  </si>
  <si>
    <t>Chaofan Li</t>
  </si>
  <si>
    <t>Victor Pollett</t>
  </si>
  <si>
    <t>Roger Wang</t>
  </si>
  <si>
    <t>Jay Ong</t>
  </si>
  <si>
    <t>Julian Kleiser</t>
  </si>
  <si>
    <t>Kelvin Chueng</t>
  </si>
  <si>
    <t>Luke Huang</t>
  </si>
  <si>
    <t>David Lu</t>
  </si>
  <si>
    <t>Trevor Pene</t>
  </si>
  <si>
    <t>Josh Lim</t>
  </si>
  <si>
    <t>Dean Shu</t>
  </si>
  <si>
    <t>Taichi Akaoka</t>
  </si>
  <si>
    <t>Bradley O'Connor</t>
  </si>
  <si>
    <t>Victor Shum</t>
  </si>
  <si>
    <t>Jeremy Chueng</t>
  </si>
  <si>
    <t>Tommy Chen</t>
  </si>
  <si>
    <t>Quintin Watene</t>
  </si>
  <si>
    <t>Kieran Young</t>
  </si>
  <si>
    <t>Alex Chick</t>
  </si>
  <si>
    <t>Jason Shi</t>
  </si>
  <si>
    <t>Lawrence Shum</t>
  </si>
  <si>
    <t>Alec Zhang</t>
  </si>
  <si>
    <t>Andrew Mei</t>
  </si>
  <si>
    <t>Under 13 Boys</t>
  </si>
  <si>
    <t>XXX</t>
  </si>
  <si>
    <t>Alysha Raapata</t>
  </si>
  <si>
    <t>Chen Hui Jiang</t>
  </si>
  <si>
    <t>Vanessa Zhou</t>
  </si>
  <si>
    <t>Ruofei Rao</t>
  </si>
  <si>
    <t>Suzannah Koningham</t>
  </si>
  <si>
    <t>Maggie Ngo</t>
  </si>
  <si>
    <t>Shuo Yang</t>
  </si>
  <si>
    <t>Krystal Young</t>
  </si>
  <si>
    <t>Lingshu Liu</t>
  </si>
  <si>
    <t>Celine Kao</t>
  </si>
  <si>
    <t>Samantha Ong</t>
  </si>
  <si>
    <t>Jessica Romhany</t>
  </si>
  <si>
    <t>Sophia Dong</t>
  </si>
  <si>
    <t>Cynthia Tian</t>
  </si>
  <si>
    <t>Hong Trinh</t>
  </si>
  <si>
    <t>Man Yui Ngai</t>
  </si>
  <si>
    <t>Doria Kao</t>
  </si>
  <si>
    <t>Carolyn Lin Zou</t>
  </si>
  <si>
    <t>Iris Liu</t>
  </si>
  <si>
    <t>Danya Young</t>
  </si>
  <si>
    <t>Under 15 Girls &amp; Under 13 Girls</t>
  </si>
  <si>
    <t>Under 15 Boys</t>
  </si>
  <si>
    <t>Xu Ning</t>
  </si>
  <si>
    <t>Yingchi Bai</t>
  </si>
  <si>
    <t>Dinyar Irani</t>
  </si>
  <si>
    <t>Kelsey Amor</t>
  </si>
  <si>
    <t xml:space="preserve">Max Rogers </t>
  </si>
  <si>
    <t>Henry Chang</t>
  </si>
  <si>
    <t>Ngakuru Niha</t>
  </si>
  <si>
    <t>Blake Lovie</t>
  </si>
  <si>
    <t>Roger Rao</t>
  </si>
  <si>
    <t>Prajoal Arisht</t>
  </si>
  <si>
    <t>Benjamin Chai</t>
  </si>
  <si>
    <t>Daniel Kleiser</t>
  </si>
  <si>
    <t>Angus Yuen</t>
  </si>
  <si>
    <t>Liam Young</t>
  </si>
  <si>
    <t>Daniel Lowe</t>
  </si>
  <si>
    <t>Bill Xie</t>
  </si>
  <si>
    <t>Eugene Yao</t>
  </si>
  <si>
    <t>Darius Au</t>
  </si>
  <si>
    <t>Junn Foo</t>
  </si>
  <si>
    <t>Jerry Cang</t>
  </si>
  <si>
    <t>Charles Sun</t>
  </si>
  <si>
    <t>Under 18 Boys</t>
  </si>
  <si>
    <t>Lingnan Kong</t>
  </si>
  <si>
    <t>Hao Chen</t>
  </si>
  <si>
    <t>Ben Jung</t>
  </si>
  <si>
    <t>Frankie Yuan</t>
  </si>
  <si>
    <t>Oliver Scarlett</t>
  </si>
  <si>
    <t>Sam Shen</t>
  </si>
  <si>
    <t>Hanson Ling</t>
  </si>
  <si>
    <t>Charles Bridger</t>
  </si>
  <si>
    <t>Tony Shi</t>
  </si>
  <si>
    <t>Bryn Lindsay</t>
  </si>
  <si>
    <t>Paul Newton-Jackson</t>
  </si>
  <si>
    <t>Xiao Jin</t>
  </si>
  <si>
    <t>Kit Wong</t>
  </si>
  <si>
    <t>Tiger Xu</t>
  </si>
  <si>
    <t>Runze Bai</t>
  </si>
  <si>
    <t>Table 1</t>
  </si>
  <si>
    <t>Table 11</t>
  </si>
  <si>
    <t>Table 12</t>
  </si>
  <si>
    <t>Table 13</t>
  </si>
  <si>
    <t>Table 2</t>
  </si>
  <si>
    <t>Table 10</t>
  </si>
  <si>
    <t>Table 6</t>
  </si>
  <si>
    <t>Table 7</t>
  </si>
  <si>
    <t>Auckland U13 Boys 1</t>
  </si>
  <si>
    <t>Auckland U13 Boys 2</t>
  </si>
  <si>
    <t>Counties-Manukau U13 Boys 1</t>
  </si>
  <si>
    <t>Counties-Manukau U13 Boys 2</t>
  </si>
  <si>
    <t>Counties-Manukau U13 Boys 3</t>
  </si>
  <si>
    <t>Counties-Manukau U13 Boys 4</t>
  </si>
  <si>
    <t>North Harbour U13 Boys 1</t>
  </si>
  <si>
    <t>Waitemata U13 Boys 1</t>
  </si>
  <si>
    <t>Auckland U15 Girls 1</t>
  </si>
  <si>
    <t>Auckland U15 Girls 2 (U13)</t>
  </si>
  <si>
    <t>Counties-Manukau U15 Girls 1</t>
  </si>
  <si>
    <t>Counties-Manukau U15 Girls 2</t>
  </si>
  <si>
    <t>North Harbour U15 Girls 1</t>
  </si>
  <si>
    <t>North Harbour U15 Girls 2 (U13)</t>
  </si>
  <si>
    <t>Waikato U15 Girls 1</t>
  </si>
  <si>
    <t>Auckland U15 Boys 1</t>
  </si>
  <si>
    <t>Auckland U15 Boys 2</t>
  </si>
  <si>
    <t>Auckland U15 Boys 3</t>
  </si>
  <si>
    <t>Counties-Manukau U15 Boys 1</t>
  </si>
  <si>
    <t>Counties-Manukau U15 Boys 2</t>
  </si>
  <si>
    <t>North Harbour U15 Boys 1</t>
  </si>
  <si>
    <t>Waitemata U15 Boys 1</t>
  </si>
  <si>
    <t>Waitemata U15 Boys 2</t>
  </si>
  <si>
    <t>Auckland U18 Boys 1</t>
  </si>
  <si>
    <t>Counties-Manukau U18 Boys 1</t>
  </si>
  <si>
    <t>North Harbour U18 Boys 1</t>
  </si>
  <si>
    <t>Waikato U18 Boys 1</t>
  </si>
  <si>
    <t>Under 18 Girls</t>
  </si>
  <si>
    <t>Angie Guo</t>
  </si>
  <si>
    <t>Clara Jung</t>
  </si>
  <si>
    <t>Hweiching Lim</t>
  </si>
  <si>
    <t>Amanda Yeung</t>
  </si>
  <si>
    <t>Jennifer Tseng</t>
  </si>
  <si>
    <t>Catherine Yeung</t>
  </si>
  <si>
    <t>North Harbour U18 Girls 1</t>
  </si>
  <si>
    <t>Auckland U18 Girls 1</t>
  </si>
  <si>
    <t>Under 18 Girls'</t>
  </si>
  <si>
    <t>2. Match will be played best of 11 games (9 singles, 2 doubles)</t>
  </si>
  <si>
    <t>Deaon Macris</t>
  </si>
  <si>
    <t>Damian Pudner</t>
  </si>
  <si>
    <t>Emily Zheng</t>
  </si>
  <si>
    <t>Helen Zhou</t>
  </si>
  <si>
    <t>5-0</t>
  </si>
  <si>
    <t>4-1</t>
  </si>
  <si>
    <t>3-2</t>
  </si>
  <si>
    <t>10-1</t>
  </si>
  <si>
    <t>1-4</t>
  </si>
  <si>
    <t>0-5</t>
  </si>
  <si>
    <t>1-10</t>
  </si>
  <si>
    <t>4</t>
  </si>
  <si>
    <t>1</t>
  </si>
  <si>
    <t>3</t>
  </si>
  <si>
    <t>2</t>
  </si>
  <si>
    <t>0</t>
  </si>
  <si>
    <t>5</t>
  </si>
  <si>
    <t>Gabriel Hong</t>
  </si>
  <si>
    <t>Nick (Koohatu) Te Pania</t>
  </si>
  <si>
    <t>Nelson Hoete</t>
  </si>
  <si>
    <t>Lukan Raisy</t>
  </si>
  <si>
    <t>Wade Lanigan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</si>
</sst>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_-* #,##0.0_-;\-* #,##0.0_-;_-* &quot;-&quot;??_-;_-@_-"/>
    <numFmt numFmtId="174" formatCode="_-* #,##0_-;\-* #,##0_-;_-* &quot;-&quot;??_-;_-@_-"/>
    <numFmt numFmtId="175" formatCode="_-* #,##0.000_-;\-* #,##0.000_-;_-* &quot;-&quot;??_-;_-@_-"/>
    <numFmt numFmtId="176" formatCode="0.E+00"/>
    <numFmt numFmtId="177" formatCode="00000"/>
    <numFmt numFmtId="178" formatCode="dd/mm/yyyy"/>
  </numFmts>
  <fonts count="11">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b/>
      <sz val="18"/>
      <name val="Arial"/>
      <family val="2"/>
    </font>
    <font>
      <b/>
      <sz val="16"/>
      <name val="Arial"/>
      <family val="2"/>
    </font>
    <font>
      <sz val="8"/>
      <name val="Arial"/>
      <family val="0"/>
    </font>
    <font>
      <b/>
      <sz val="10"/>
      <color indexed="10"/>
      <name val="Arial"/>
      <family val="2"/>
    </font>
    <font>
      <sz val="10"/>
      <color indexed="10"/>
      <name val="Arial"/>
      <family val="2"/>
    </font>
  </fonts>
  <fills count="5">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0" xfId="0" applyFont="1" applyAlignment="1">
      <alignment/>
    </xf>
    <xf numFmtId="1" fontId="0" fillId="0" borderId="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1" fillId="0" borderId="1" xfId="0" applyNumberFormat="1" applyFont="1" applyBorder="1" applyAlignment="1" applyProtection="1">
      <alignment horizontal="left" vertical="center"/>
      <protection/>
    </xf>
    <xf numFmtId="49" fontId="1" fillId="0" borderId="1" xfId="0" applyNumberFormat="1" applyFont="1" applyBorder="1" applyAlignment="1" applyProtection="1">
      <alignment horizontal="left" vertical="center"/>
      <protection/>
    </xf>
    <xf numFmtId="0" fontId="0" fillId="0" borderId="0" xfId="0" applyAlignment="1" applyProtection="1">
      <alignment/>
      <protection/>
    </xf>
    <xf numFmtId="1" fontId="0" fillId="0" borderId="1" xfId="0" applyNumberFormat="1" applyBorder="1" applyAlignment="1" applyProtection="1">
      <alignment horizontal="center" vertical="center"/>
      <protection/>
    </xf>
    <xf numFmtId="0" fontId="0" fillId="2" borderId="1" xfId="0" applyNumberFormat="1" applyFont="1" applyFill="1" applyBorder="1" applyAlignment="1" applyProtection="1">
      <alignment horizontal="center" vertical="center"/>
      <protection/>
    </xf>
    <xf numFmtId="49" fontId="0" fillId="2" borderId="1" xfId="0" applyNumberFormat="1" applyFont="1" applyFill="1" applyBorder="1" applyAlignment="1" applyProtection="1">
      <alignment horizontal="center" vertical="center"/>
      <protection/>
    </xf>
    <xf numFmtId="0" fontId="0" fillId="0" borderId="0" xfId="0" applyAlignment="1">
      <alignment horizontal="center"/>
    </xf>
    <xf numFmtId="0" fontId="3" fillId="0" borderId="0" xfId="0" applyFont="1" applyAlignment="1">
      <alignment/>
    </xf>
    <xf numFmtId="0" fontId="2" fillId="0" borderId="0" xfId="0" applyFont="1" applyAlignment="1">
      <alignment/>
    </xf>
    <xf numFmtId="49" fontId="0" fillId="0" borderId="0" xfId="0" applyNumberFormat="1" applyAlignment="1">
      <alignment/>
    </xf>
    <xf numFmtId="0" fontId="0" fillId="0" borderId="0" xfId="0" applyAlignment="1" quotePrefix="1">
      <alignment/>
    </xf>
    <xf numFmtId="49" fontId="0" fillId="0" borderId="0" xfId="0" applyNumberFormat="1" applyAlignment="1" quotePrefix="1">
      <alignment/>
    </xf>
    <xf numFmtId="49" fontId="0" fillId="0" borderId="1" xfId="0" applyNumberFormat="1" applyBorder="1" applyAlignment="1" applyProtection="1">
      <alignment horizontal="center" vertical="center"/>
      <protection/>
    </xf>
    <xf numFmtId="0" fontId="0" fillId="0" borderId="0" xfId="0" applyBorder="1" applyAlignment="1" applyProtection="1">
      <alignment/>
      <protection/>
    </xf>
    <xf numFmtId="0" fontId="1" fillId="0" borderId="1" xfId="0" applyFont="1" applyBorder="1" applyAlignment="1" applyProtection="1">
      <alignment horizontal="center" vertical="center"/>
      <protection/>
    </xf>
    <xf numFmtId="0" fontId="1" fillId="0" borderId="1" xfId="0" applyFont="1" applyBorder="1" applyAlignment="1" applyProtection="1">
      <alignment vertical="center"/>
      <protection/>
    </xf>
    <xf numFmtId="49" fontId="0" fillId="3" borderId="1" xfId="0" applyNumberFormat="1" applyFill="1" applyBorder="1" applyAlignment="1" applyProtection="1">
      <alignment horizontal="center" vertical="center"/>
      <protection/>
    </xf>
    <xf numFmtId="1" fontId="0" fillId="0" borderId="0" xfId="0" applyNumberFormat="1" applyAlignment="1" applyProtection="1">
      <alignment horizontal="center" vertical="center"/>
      <protection/>
    </xf>
    <xf numFmtId="0" fontId="0" fillId="0" borderId="1" xfId="0" applyNumberForma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vertical="center"/>
      <protection/>
    </xf>
    <xf numFmtId="49" fontId="0" fillId="0" borderId="0" xfId="0" applyNumberForma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1" xfId="0" applyFont="1" applyBorder="1" applyAlignment="1" applyProtection="1">
      <alignment horizontal="center" vertical="center"/>
      <protection/>
    </xf>
    <xf numFmtId="0" fontId="0" fillId="0" borderId="1" xfId="0" applyBorder="1" applyAlignment="1" applyProtection="1">
      <alignment horizontal="center" vertical="center" wrapText="1"/>
      <protection/>
    </xf>
    <xf numFmtId="0" fontId="1" fillId="0" borderId="1" xfId="0" applyFont="1" applyBorder="1" applyAlignment="1" applyProtection="1">
      <alignment horizontal="left" vertical="center"/>
      <protection/>
    </xf>
    <xf numFmtId="0" fontId="1" fillId="0" borderId="0" xfId="0" applyFont="1" applyAlignment="1" applyProtection="1">
      <alignment/>
      <protection/>
    </xf>
    <xf numFmtId="49" fontId="0" fillId="0" borderId="0" xfId="0" applyNumberFormat="1" applyAlignment="1" applyProtection="1">
      <alignment horizontal="left"/>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1" xfId="0" applyFont="1" applyBorder="1" applyAlignment="1" applyProtection="1">
      <alignment vertical="center" wrapText="1"/>
      <protection/>
    </xf>
    <xf numFmtId="0" fontId="1" fillId="0" borderId="0" xfId="0" applyFont="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Alignment="1" applyProtection="1" quotePrefix="1">
      <alignment vertical="center"/>
      <protection/>
    </xf>
    <xf numFmtId="0" fontId="1" fillId="0" borderId="0" xfId="0" applyFont="1" applyAlignment="1" applyProtection="1">
      <alignment horizontal="center" vertical="center"/>
      <protection/>
    </xf>
    <xf numFmtId="49" fontId="1" fillId="0" borderId="1" xfId="0" applyNumberFormat="1" applyFont="1" applyBorder="1" applyAlignment="1" applyProtection="1">
      <alignment vertical="center" wrapText="1"/>
      <protection/>
    </xf>
    <xf numFmtId="49" fontId="1" fillId="3" borderId="1" xfId="0" applyNumberFormat="1" applyFont="1" applyFill="1" applyBorder="1" applyAlignment="1" applyProtection="1">
      <alignment horizontal="center" vertical="center"/>
      <protection/>
    </xf>
    <xf numFmtId="49" fontId="1" fillId="0" borderId="1" xfId="0" applyNumberFormat="1" applyFont="1" applyBorder="1" applyAlignment="1" applyProtection="1">
      <alignment vertical="center"/>
      <protection/>
    </xf>
    <xf numFmtId="0" fontId="0" fillId="0" borderId="1" xfId="0" applyFont="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0" fillId="0" borderId="0" xfId="0" applyBorder="1" applyAlignment="1" applyProtection="1">
      <alignment horizontal="centerContinuous"/>
      <protection/>
    </xf>
    <xf numFmtId="0" fontId="0" fillId="0" borderId="0" xfId="0" applyAlignment="1" applyProtection="1">
      <alignment horizontal="centerContinuous"/>
      <protection/>
    </xf>
    <xf numFmtId="0" fontId="4" fillId="0" borderId="0" xfId="0" applyFont="1" applyBorder="1" applyAlignment="1" applyProtection="1">
      <alignment horizontal="centerContinuous" vertical="center"/>
      <protection/>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vertical="center"/>
      <protection/>
    </xf>
    <xf numFmtId="0" fontId="0" fillId="0" borderId="1" xfId="0" applyBorder="1" applyAlignment="1" applyProtection="1">
      <alignment/>
      <protection/>
    </xf>
    <xf numFmtId="0" fontId="0" fillId="0" borderId="0" xfId="0" applyAlignment="1" applyProtection="1">
      <alignment/>
      <protection locked="0"/>
    </xf>
    <xf numFmtId="0" fontId="1" fillId="0" borderId="0" xfId="0" applyFont="1" applyAlignment="1">
      <alignment horizontal="center"/>
    </xf>
    <xf numFmtId="0" fontId="0" fillId="0" borderId="0" xfId="0"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Alignment="1" applyProtection="1">
      <alignment vertical="center"/>
      <protection/>
    </xf>
    <xf numFmtId="0" fontId="0" fillId="0" borderId="0" xfId="0" applyNumberFormat="1" applyAlignment="1">
      <alignment vertical="center"/>
    </xf>
    <xf numFmtId="0" fontId="1" fillId="0" borderId="1" xfId="0" applyNumberFormat="1" applyFont="1" applyBorder="1" applyAlignment="1" applyProtection="1">
      <alignment vertical="center" wrapText="1"/>
      <protection/>
    </xf>
    <xf numFmtId="49" fontId="0" fillId="0" borderId="0" xfId="0" applyNumberFormat="1" applyAlignment="1" applyProtection="1">
      <alignment vertical="center"/>
      <protection/>
    </xf>
    <xf numFmtId="49" fontId="0" fillId="4" borderId="0" xfId="0" applyNumberFormat="1" applyFill="1" applyAlignment="1">
      <alignment/>
    </xf>
    <xf numFmtId="0" fontId="0" fillId="0" borderId="0" xfId="0" applyNumberFormat="1" applyAlignment="1">
      <alignment/>
    </xf>
    <xf numFmtId="0" fontId="0" fillId="0" borderId="3" xfId="0" applyBorder="1" applyAlignment="1" applyProtection="1">
      <alignment horizontal="center" vertical="center" wrapText="1"/>
      <protection/>
    </xf>
    <xf numFmtId="0" fontId="3" fillId="0" borderId="0" xfId="0" applyFont="1" applyAlignment="1">
      <alignment horizontal="center"/>
    </xf>
    <xf numFmtId="0" fontId="1" fillId="0" borderId="4" xfId="0" applyFont="1" applyBorder="1" applyAlignment="1" applyProtection="1">
      <alignment horizontal="center" vertical="center"/>
      <protection/>
    </xf>
    <xf numFmtId="0" fontId="0" fillId="0" borderId="4" xfId="0" applyBorder="1" applyAlignment="1" applyProtection="1">
      <alignment horizontal="center" vertical="center" wrapText="1"/>
      <protection/>
    </xf>
    <xf numFmtId="0" fontId="0" fillId="0" borderId="0" xfId="0" applyFill="1" applyBorder="1" applyAlignment="1" applyProtection="1">
      <alignment/>
      <protection/>
    </xf>
    <xf numFmtId="0" fontId="1" fillId="0" borderId="0" xfId="0" applyFont="1" applyAlignment="1" applyProtection="1">
      <alignment horizontal="center"/>
      <protection/>
    </xf>
    <xf numFmtId="0" fontId="1" fillId="0" borderId="3" xfId="0" applyFont="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xf>
    <xf numFmtId="1" fontId="10"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vertical="center"/>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49" fontId="0" fillId="0" borderId="0" xfId="0" applyNumberFormat="1" applyAlignment="1" applyProtection="1">
      <alignment/>
      <protection/>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0" xfId="0" applyBorder="1" applyAlignment="1">
      <alignment/>
    </xf>
    <xf numFmtId="0" fontId="0" fillId="0" borderId="1" xfId="0" applyFill="1" applyBorder="1" applyAlignment="1">
      <alignment horizontal="center"/>
    </xf>
    <xf numFmtId="0" fontId="1" fillId="0" borderId="0" xfId="0" applyNumberFormat="1" applyFont="1" applyBorder="1" applyAlignment="1" applyProtection="1">
      <alignment horizontal="left" vertical="center"/>
      <protection/>
    </xf>
    <xf numFmtId="1" fontId="0" fillId="0" borderId="0" xfId="0" applyNumberFormat="1" applyBorder="1" applyAlignment="1" applyProtection="1">
      <alignment horizontal="center" vertical="center"/>
      <protection/>
    </xf>
    <xf numFmtId="49" fontId="0" fillId="0" borderId="1" xfId="0" applyNumberFormat="1" applyFill="1" applyBorder="1" applyAlignment="1" applyProtection="1">
      <alignment horizontal="center" vertical="center"/>
      <protection/>
    </xf>
    <xf numFmtId="0" fontId="1" fillId="0" borderId="2" xfId="0" applyFont="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center" vertical="center"/>
      <protection/>
    </xf>
    <xf numFmtId="49" fontId="0" fillId="0" borderId="1" xfId="0" applyNumberFormat="1" applyFont="1" applyBorder="1" applyAlignment="1" applyProtection="1">
      <alignment horizontal="center" vertical="center"/>
      <protection/>
    </xf>
    <xf numFmtId="0" fontId="6" fillId="0" borderId="0" xfId="0" applyFont="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0" fillId="0" borderId="1" xfId="0"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3" xfId="0" applyBorder="1" applyAlignment="1" applyProtection="1">
      <alignment horizontal="center" vertical="center"/>
      <protection/>
    </xf>
    <xf numFmtId="0" fontId="0" fillId="0" borderId="5" xfId="0" applyBorder="1" applyAlignment="1">
      <alignment horizontal="center" vertical="center"/>
    </xf>
    <xf numFmtId="0" fontId="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0" fillId="0" borderId="4"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1" fillId="0" borderId="4"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7" xfId="0" applyBorder="1" applyAlignment="1">
      <alignment horizontal="center"/>
    </xf>
    <xf numFmtId="49"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1" fillId="0" borderId="0" xfId="0" applyFont="1" applyBorder="1" applyAlignment="1" applyProtection="1" quotePrefix="1">
      <alignment horizontal="center" vertical="center"/>
      <protection/>
    </xf>
    <xf numFmtId="0" fontId="1" fillId="0" borderId="3"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0" fillId="0" borderId="3" xfId="0" applyFont="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1" fillId="0" borderId="1" xfId="0" applyFont="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84"/>
  <sheetViews>
    <sheetView workbookViewId="0" topLeftCell="A1">
      <selection activeCell="B14" sqref="B14"/>
    </sheetView>
  </sheetViews>
  <sheetFormatPr defaultColWidth="9.140625" defaultRowHeight="12.75"/>
  <cols>
    <col min="1" max="1" width="29.421875" style="0" bestFit="1" customWidth="1"/>
    <col min="2" max="2" width="29.140625" style="0" customWidth="1"/>
    <col min="3" max="3" width="5.00390625" style="10" bestFit="1" customWidth="1"/>
    <col min="4" max="4" width="5.8515625" style="0" customWidth="1"/>
    <col min="5" max="5" width="5.8515625" style="0" bestFit="1" customWidth="1"/>
    <col min="6" max="12" width="3.00390625" style="0" customWidth="1"/>
  </cols>
  <sheetData>
    <row r="1" spans="1:12" s="12" customFormat="1" ht="12.75">
      <c r="A1" s="1" t="s">
        <v>192</v>
      </c>
      <c r="B1" s="11"/>
      <c r="C1" s="65" t="s">
        <v>170</v>
      </c>
      <c r="D1" s="11" t="s">
        <v>168</v>
      </c>
      <c r="E1" s="11" t="s">
        <v>199</v>
      </c>
      <c r="F1" s="104" t="s">
        <v>169</v>
      </c>
      <c r="G1" s="104"/>
      <c r="H1" s="104"/>
      <c r="I1" s="104"/>
      <c r="J1" s="104"/>
      <c r="K1" s="104"/>
      <c r="L1" s="104"/>
    </row>
    <row r="2" spans="4:5" ht="14.25" customHeight="1">
      <c r="D2" s="54">
        <f>COUNTA(D3:D30)</f>
        <v>19</v>
      </c>
      <c r="E2" s="54" t="s">
        <v>2</v>
      </c>
    </row>
    <row r="3" spans="1:11" ht="12.75" customHeight="1">
      <c r="A3" s="13" t="s">
        <v>112</v>
      </c>
      <c r="B3" s="62" t="s">
        <v>113</v>
      </c>
      <c r="C3" s="10">
        <v>9</v>
      </c>
      <c r="D3" s="10">
        <v>1</v>
      </c>
      <c r="E3" s="10">
        <v>1</v>
      </c>
      <c r="F3">
        <v>6</v>
      </c>
      <c r="G3">
        <v>8</v>
      </c>
      <c r="H3">
        <v>12</v>
      </c>
      <c r="I3">
        <v>14</v>
      </c>
      <c r="J3">
        <v>18</v>
      </c>
      <c r="K3">
        <v>21</v>
      </c>
    </row>
    <row r="4" spans="1:11" ht="12.75">
      <c r="A4" s="13" t="s">
        <v>114</v>
      </c>
      <c r="B4" s="62" t="s">
        <v>115</v>
      </c>
      <c r="C4" s="10">
        <v>9</v>
      </c>
      <c r="D4" s="10">
        <v>6</v>
      </c>
      <c r="E4" s="10">
        <v>3</v>
      </c>
      <c r="F4">
        <v>6</v>
      </c>
      <c r="G4">
        <v>8</v>
      </c>
      <c r="H4">
        <v>12</v>
      </c>
      <c r="I4">
        <v>14</v>
      </c>
      <c r="J4">
        <v>18</v>
      </c>
      <c r="K4">
        <v>21</v>
      </c>
    </row>
    <row r="5" spans="1:11" ht="12.75">
      <c r="A5" s="13" t="s">
        <v>116</v>
      </c>
      <c r="B5" s="62" t="s">
        <v>117</v>
      </c>
      <c r="C5" s="10">
        <v>9</v>
      </c>
      <c r="D5" s="10">
        <v>15</v>
      </c>
      <c r="E5" s="10">
        <v>11</v>
      </c>
      <c r="F5">
        <v>6</v>
      </c>
      <c r="G5">
        <v>8</v>
      </c>
      <c r="H5">
        <v>12</v>
      </c>
      <c r="I5">
        <v>14</v>
      </c>
      <c r="J5">
        <v>18</v>
      </c>
      <c r="K5">
        <v>21</v>
      </c>
    </row>
    <row r="6" spans="1:10" ht="12.75">
      <c r="A6" s="13" t="s">
        <v>149</v>
      </c>
      <c r="B6" s="62" t="s">
        <v>150</v>
      </c>
      <c r="C6" s="10">
        <v>9</v>
      </c>
      <c r="D6" s="10"/>
      <c r="E6" s="10"/>
      <c r="F6" t="s">
        <v>2</v>
      </c>
      <c r="G6" t="s">
        <v>2</v>
      </c>
      <c r="H6" t="s">
        <v>2</v>
      </c>
      <c r="I6" t="s">
        <v>2</v>
      </c>
      <c r="J6" t="s">
        <v>2</v>
      </c>
    </row>
    <row r="7" spans="1:11" ht="12.75">
      <c r="A7" s="13" t="s">
        <v>118</v>
      </c>
      <c r="B7" s="62" t="s">
        <v>206</v>
      </c>
      <c r="C7" s="10">
        <v>9</v>
      </c>
      <c r="D7" s="10">
        <v>10</v>
      </c>
      <c r="E7" s="10">
        <v>2</v>
      </c>
      <c r="F7">
        <v>6</v>
      </c>
      <c r="G7">
        <v>8</v>
      </c>
      <c r="H7">
        <v>12</v>
      </c>
      <c r="I7">
        <v>14</v>
      </c>
      <c r="J7">
        <v>18</v>
      </c>
      <c r="K7">
        <v>21</v>
      </c>
    </row>
    <row r="8" spans="1:11" ht="12.75">
      <c r="A8" s="13" t="s">
        <v>119</v>
      </c>
      <c r="B8" s="62" t="s">
        <v>120</v>
      </c>
      <c r="C8" s="10">
        <v>9</v>
      </c>
      <c r="D8" s="10">
        <v>5</v>
      </c>
      <c r="E8" s="10">
        <v>4</v>
      </c>
      <c r="F8">
        <v>6</v>
      </c>
      <c r="G8">
        <v>8</v>
      </c>
      <c r="H8">
        <v>12</v>
      </c>
      <c r="I8">
        <v>14</v>
      </c>
      <c r="J8">
        <v>18</v>
      </c>
      <c r="K8">
        <v>21</v>
      </c>
    </row>
    <row r="9" spans="1:10" ht="12.75">
      <c r="A9" s="13" t="s">
        <v>121</v>
      </c>
      <c r="B9" s="62" t="s">
        <v>122</v>
      </c>
      <c r="C9" s="10">
        <v>9</v>
      </c>
      <c r="D9" s="10"/>
      <c r="E9" s="10"/>
      <c r="F9" t="s">
        <v>2</v>
      </c>
      <c r="G9" t="s">
        <v>2</v>
      </c>
      <c r="H9" t="s">
        <v>2</v>
      </c>
      <c r="I9" t="s">
        <v>124</v>
      </c>
      <c r="J9" t="s">
        <v>2</v>
      </c>
    </row>
    <row r="10" spans="1:10" ht="12.75">
      <c r="A10" s="13" t="s">
        <v>151</v>
      </c>
      <c r="B10" s="62" t="s">
        <v>152</v>
      </c>
      <c r="C10" s="10">
        <v>9</v>
      </c>
      <c r="D10" s="10"/>
      <c r="E10" s="10"/>
      <c r="F10" t="s">
        <v>2</v>
      </c>
      <c r="G10" t="s">
        <v>2</v>
      </c>
      <c r="H10" t="s">
        <v>2</v>
      </c>
      <c r="I10" t="s">
        <v>2</v>
      </c>
      <c r="J10" t="s">
        <v>2</v>
      </c>
    </row>
    <row r="11" spans="1:11" ht="12.75">
      <c r="A11" s="13" t="s">
        <v>123</v>
      </c>
      <c r="B11" s="14" t="s">
        <v>124</v>
      </c>
      <c r="C11" s="10">
        <v>5</v>
      </c>
      <c r="D11" s="10">
        <v>10</v>
      </c>
      <c r="E11" s="10">
        <v>3</v>
      </c>
      <c r="F11">
        <v>3</v>
      </c>
      <c r="G11">
        <v>9</v>
      </c>
      <c r="H11">
        <v>11</v>
      </c>
      <c r="I11">
        <v>17</v>
      </c>
      <c r="J11">
        <v>19</v>
      </c>
      <c r="K11">
        <v>20</v>
      </c>
    </row>
    <row r="12" spans="1:11" ht="12.75">
      <c r="A12" s="13" t="s">
        <v>125</v>
      </c>
      <c r="B12" s="14" t="s">
        <v>124</v>
      </c>
      <c r="C12" s="10">
        <v>5</v>
      </c>
      <c r="D12" s="10">
        <v>10</v>
      </c>
      <c r="E12" s="10">
        <v>4</v>
      </c>
      <c r="F12">
        <v>2</v>
      </c>
      <c r="G12">
        <v>5</v>
      </c>
      <c r="H12">
        <v>11</v>
      </c>
      <c r="I12">
        <v>15</v>
      </c>
      <c r="J12">
        <v>19</v>
      </c>
      <c r="K12">
        <v>20</v>
      </c>
    </row>
    <row r="13" spans="1:11" ht="12.75">
      <c r="A13" s="13" t="s">
        <v>193</v>
      </c>
      <c r="B13" s="14" t="s">
        <v>124</v>
      </c>
      <c r="C13" s="10">
        <v>5</v>
      </c>
      <c r="D13" s="10">
        <v>15</v>
      </c>
      <c r="E13" s="10">
        <v>12</v>
      </c>
      <c r="F13">
        <v>3</v>
      </c>
      <c r="G13">
        <v>5</v>
      </c>
      <c r="H13">
        <v>9</v>
      </c>
      <c r="I13">
        <v>15</v>
      </c>
      <c r="J13">
        <v>17</v>
      </c>
      <c r="K13">
        <v>20</v>
      </c>
    </row>
    <row r="14" spans="1:11" ht="12.75">
      <c r="A14" s="13" t="s">
        <v>194</v>
      </c>
      <c r="B14" s="14" t="s">
        <v>124</v>
      </c>
      <c r="C14" s="10">
        <v>5</v>
      </c>
      <c r="D14" s="10">
        <v>17</v>
      </c>
      <c r="E14" s="10">
        <v>8</v>
      </c>
      <c r="F14">
        <v>3</v>
      </c>
      <c r="G14">
        <v>5</v>
      </c>
      <c r="H14">
        <v>9</v>
      </c>
      <c r="I14">
        <v>15</v>
      </c>
      <c r="J14">
        <v>17</v>
      </c>
      <c r="K14">
        <v>20</v>
      </c>
    </row>
    <row r="15" spans="1:11" ht="12.75">
      <c r="A15" s="13" t="s">
        <v>126</v>
      </c>
      <c r="B15" s="14" t="s">
        <v>124</v>
      </c>
      <c r="C15" s="10">
        <v>5</v>
      </c>
      <c r="D15" s="10">
        <v>7</v>
      </c>
      <c r="E15" s="10">
        <v>13</v>
      </c>
      <c r="F15">
        <v>2</v>
      </c>
      <c r="G15">
        <v>5</v>
      </c>
      <c r="H15">
        <v>11</v>
      </c>
      <c r="I15">
        <v>15</v>
      </c>
      <c r="J15">
        <v>19</v>
      </c>
      <c r="K15">
        <v>20</v>
      </c>
    </row>
    <row r="16" spans="1:9" ht="12.75">
      <c r="A16" s="13" t="s">
        <v>160</v>
      </c>
      <c r="B16" s="14" t="s">
        <v>124</v>
      </c>
      <c r="C16" s="10">
        <v>5</v>
      </c>
      <c r="D16" s="10">
        <v>13</v>
      </c>
      <c r="E16" s="10">
        <v>5</v>
      </c>
      <c r="F16">
        <v>3</v>
      </c>
      <c r="G16">
        <v>9</v>
      </c>
      <c r="H16">
        <v>17</v>
      </c>
      <c r="I16">
        <v>20</v>
      </c>
    </row>
    <row r="17" spans="1:5" ht="12.75">
      <c r="A17" s="13" t="s">
        <v>161</v>
      </c>
      <c r="B17" s="14" t="s">
        <v>124</v>
      </c>
      <c r="C17" s="10">
        <v>5</v>
      </c>
      <c r="D17" s="10"/>
      <c r="E17" s="10"/>
    </row>
    <row r="18" spans="1:5" ht="12.75">
      <c r="A18" s="13" t="s">
        <v>127</v>
      </c>
      <c r="B18" s="15" t="s">
        <v>124</v>
      </c>
      <c r="C18" s="10">
        <v>5</v>
      </c>
      <c r="D18" s="10"/>
      <c r="E18" s="10"/>
    </row>
    <row r="19" spans="1:11" ht="12.75">
      <c r="A19" s="13" t="s">
        <v>128</v>
      </c>
      <c r="B19" s="62" t="s">
        <v>208</v>
      </c>
      <c r="C19" s="10">
        <v>9</v>
      </c>
      <c r="D19" s="10">
        <v>1</v>
      </c>
      <c r="E19" s="10">
        <v>1</v>
      </c>
      <c r="F19">
        <v>3</v>
      </c>
      <c r="G19">
        <v>7</v>
      </c>
      <c r="H19">
        <v>9</v>
      </c>
      <c r="I19">
        <v>13</v>
      </c>
      <c r="J19">
        <v>15</v>
      </c>
      <c r="K19">
        <v>20</v>
      </c>
    </row>
    <row r="20" spans="1:11" ht="12.75">
      <c r="A20" s="13" t="s">
        <v>129</v>
      </c>
      <c r="B20" s="62" t="s">
        <v>207</v>
      </c>
      <c r="C20" s="10">
        <v>9</v>
      </c>
      <c r="D20" s="10">
        <v>4</v>
      </c>
      <c r="E20" s="10">
        <v>7</v>
      </c>
      <c r="F20">
        <v>3</v>
      </c>
      <c r="G20">
        <v>7</v>
      </c>
      <c r="H20">
        <v>9</v>
      </c>
      <c r="I20">
        <v>13</v>
      </c>
      <c r="J20">
        <v>15</v>
      </c>
      <c r="K20">
        <v>20</v>
      </c>
    </row>
    <row r="21" spans="1:5" ht="12.75">
      <c r="A21" s="13" t="s">
        <v>130</v>
      </c>
      <c r="B21" s="15" t="s">
        <v>124</v>
      </c>
      <c r="C21" s="10">
        <v>9</v>
      </c>
      <c r="D21" s="10"/>
      <c r="E21" s="10" t="s">
        <v>2</v>
      </c>
    </row>
    <row r="22" spans="1:11" ht="12.75">
      <c r="A22" s="13" t="s">
        <v>131</v>
      </c>
      <c r="B22" s="62" t="s">
        <v>208</v>
      </c>
      <c r="C22" s="10">
        <v>9</v>
      </c>
      <c r="D22" s="10">
        <v>10</v>
      </c>
      <c r="E22" s="10">
        <v>2</v>
      </c>
      <c r="F22">
        <v>3</v>
      </c>
      <c r="G22">
        <v>7</v>
      </c>
      <c r="H22">
        <v>10</v>
      </c>
      <c r="I22">
        <v>13</v>
      </c>
      <c r="J22">
        <v>16</v>
      </c>
      <c r="K22">
        <v>20</v>
      </c>
    </row>
    <row r="23" spans="1:5" ht="12.75">
      <c r="A23" s="13" t="s">
        <v>132</v>
      </c>
      <c r="B23" s="15" t="s">
        <v>124</v>
      </c>
      <c r="C23" s="10">
        <v>9</v>
      </c>
      <c r="D23" s="10"/>
      <c r="E23" s="10" t="s">
        <v>2</v>
      </c>
    </row>
    <row r="24" spans="1:11" ht="12.75">
      <c r="A24" s="13" t="s">
        <v>133</v>
      </c>
      <c r="B24" s="62" t="s">
        <v>205</v>
      </c>
      <c r="C24" s="10">
        <v>9</v>
      </c>
      <c r="D24" s="10">
        <v>13</v>
      </c>
      <c r="E24" s="10">
        <v>10</v>
      </c>
      <c r="F24">
        <v>2</v>
      </c>
      <c r="G24">
        <v>4</v>
      </c>
      <c r="H24">
        <v>7</v>
      </c>
      <c r="I24">
        <v>13</v>
      </c>
      <c r="J24">
        <v>16</v>
      </c>
      <c r="K24">
        <v>20</v>
      </c>
    </row>
    <row r="25" spans="1:11" ht="12.75">
      <c r="A25" s="13" t="s">
        <v>134</v>
      </c>
      <c r="B25" s="62" t="s">
        <v>135</v>
      </c>
      <c r="C25" s="10">
        <v>9</v>
      </c>
      <c r="D25" s="10">
        <v>16</v>
      </c>
      <c r="E25" s="10">
        <v>17</v>
      </c>
      <c r="F25">
        <v>2</v>
      </c>
      <c r="G25">
        <v>7</v>
      </c>
      <c r="H25">
        <v>10</v>
      </c>
      <c r="I25">
        <v>16</v>
      </c>
      <c r="J25">
        <v>19</v>
      </c>
      <c r="K25">
        <v>20</v>
      </c>
    </row>
    <row r="26" spans="1:11" ht="12.75">
      <c r="A26" s="13" t="s">
        <v>136</v>
      </c>
      <c r="B26" s="62" t="s">
        <v>137</v>
      </c>
      <c r="C26" s="10">
        <v>9</v>
      </c>
      <c r="D26" s="10">
        <v>17</v>
      </c>
      <c r="E26" s="10">
        <v>15</v>
      </c>
      <c r="F26">
        <v>2</v>
      </c>
      <c r="G26">
        <v>4</v>
      </c>
      <c r="H26">
        <v>10</v>
      </c>
      <c r="I26">
        <v>13</v>
      </c>
      <c r="J26">
        <v>19</v>
      </c>
      <c r="K26">
        <v>20</v>
      </c>
    </row>
    <row r="27" spans="1:5" ht="12.75">
      <c r="A27" s="13" t="s">
        <v>159</v>
      </c>
      <c r="B27" s="13"/>
      <c r="C27" s="10">
        <v>9</v>
      </c>
      <c r="D27" s="10"/>
      <c r="E27" s="10"/>
    </row>
    <row r="28" spans="1:12" ht="12.75">
      <c r="A28" s="13" t="s">
        <v>138</v>
      </c>
      <c r="B28" s="62" t="s">
        <v>139</v>
      </c>
      <c r="C28" s="10">
        <v>9</v>
      </c>
      <c r="D28" s="10">
        <v>7</v>
      </c>
      <c r="E28" s="10">
        <v>11</v>
      </c>
      <c r="F28">
        <v>4</v>
      </c>
      <c r="G28">
        <v>7</v>
      </c>
      <c r="H28">
        <v>9</v>
      </c>
      <c r="I28">
        <v>13</v>
      </c>
      <c r="J28">
        <v>15</v>
      </c>
      <c r="K28">
        <v>20</v>
      </c>
      <c r="L28" t="s">
        <v>2</v>
      </c>
    </row>
    <row r="29" spans="1:9" ht="12.75">
      <c r="A29" s="13" t="s">
        <v>140</v>
      </c>
      <c r="B29" s="62" t="s">
        <v>135</v>
      </c>
      <c r="C29" s="10">
        <v>9</v>
      </c>
      <c r="D29" s="10">
        <v>9</v>
      </c>
      <c r="E29" s="10">
        <v>6</v>
      </c>
      <c r="F29">
        <v>3</v>
      </c>
      <c r="G29">
        <v>10</v>
      </c>
      <c r="H29">
        <v>13</v>
      </c>
      <c r="I29">
        <v>20</v>
      </c>
    </row>
    <row r="30" spans="1:5" ht="12.75">
      <c r="A30" s="13" t="s">
        <v>141</v>
      </c>
      <c r="B30" s="62" t="s">
        <v>209</v>
      </c>
      <c r="C30" s="10">
        <v>9</v>
      </c>
      <c r="D30" s="10"/>
      <c r="E30" s="10"/>
    </row>
    <row r="31" spans="1:3" ht="12.75">
      <c r="A31" s="13"/>
      <c r="B31" s="13"/>
      <c r="C31" s="10" t="s">
        <v>2</v>
      </c>
    </row>
    <row r="32" spans="1:2" ht="12.75">
      <c r="A32" s="13"/>
      <c r="B32" s="13"/>
    </row>
    <row r="38" ht="12.75">
      <c r="A38" s="1" t="s">
        <v>30</v>
      </c>
    </row>
    <row r="39" ht="12.75">
      <c r="A39" t="s">
        <v>156</v>
      </c>
    </row>
    <row r="40" ht="12.75">
      <c r="A40" t="s">
        <v>155</v>
      </c>
    </row>
    <row r="41" ht="12.75">
      <c r="A41" t="s">
        <v>154</v>
      </c>
    </row>
    <row r="42" s="1" customFormat="1" ht="12.75">
      <c r="C42" s="54"/>
    </row>
    <row r="44" ht="12.75">
      <c r="A44" s="1" t="s">
        <v>171</v>
      </c>
    </row>
    <row r="45" spans="1:5" ht="12.75">
      <c r="A45">
        <v>1</v>
      </c>
      <c r="B45" t="str">
        <f aca="true" t="shared" si="0" ref="B45:B51">CONCATENATE(C45,"-",TEXT(E45,"0000"))</f>
        <v>TH-0830</v>
      </c>
      <c r="C45" s="10" t="s">
        <v>185</v>
      </c>
      <c r="D45" s="63">
        <v>830</v>
      </c>
      <c r="E45" s="63">
        <v>830</v>
      </c>
    </row>
    <row r="46" spans="1:5" ht="12.75">
      <c r="A46">
        <v>2</v>
      </c>
      <c r="B46" t="str">
        <f t="shared" si="0"/>
        <v>TH-1130</v>
      </c>
      <c r="C46" s="10" t="s">
        <v>185</v>
      </c>
      <c r="D46" s="63">
        <v>1130</v>
      </c>
      <c r="E46" s="63">
        <v>1130</v>
      </c>
    </row>
    <row r="47" spans="1:5" ht="12.75">
      <c r="A47">
        <v>3</v>
      </c>
      <c r="B47" t="str">
        <f t="shared" si="0"/>
        <v>TH-1430</v>
      </c>
      <c r="C47" s="10" t="s">
        <v>185</v>
      </c>
      <c r="D47" s="63">
        <v>1430</v>
      </c>
      <c r="E47" s="63">
        <v>1430</v>
      </c>
    </row>
    <row r="48" spans="1:5" ht="12.75">
      <c r="A48">
        <v>4</v>
      </c>
      <c r="B48" t="str">
        <f t="shared" si="0"/>
        <v>TH-1630</v>
      </c>
      <c r="C48" s="10" t="s">
        <v>185</v>
      </c>
      <c r="D48" s="63">
        <v>1630</v>
      </c>
      <c r="E48" s="63">
        <v>1630</v>
      </c>
    </row>
    <row r="49" spans="1:5" ht="12.75">
      <c r="A49">
        <v>5</v>
      </c>
      <c r="B49" t="str">
        <f t="shared" si="0"/>
        <v>TH-1730</v>
      </c>
      <c r="C49" s="10" t="s">
        <v>185</v>
      </c>
      <c r="D49" s="63">
        <v>1730</v>
      </c>
      <c r="E49" s="63">
        <v>1730</v>
      </c>
    </row>
    <row r="50" spans="1:5" ht="12.75">
      <c r="A50">
        <v>6</v>
      </c>
      <c r="B50" t="str">
        <f t="shared" si="0"/>
        <v>TH-1930</v>
      </c>
      <c r="C50" s="10" t="s">
        <v>185</v>
      </c>
      <c r="D50" s="63">
        <v>1930</v>
      </c>
      <c r="E50" s="63">
        <v>1930</v>
      </c>
    </row>
    <row r="51" spans="1:5" ht="12.75">
      <c r="A51">
        <v>7</v>
      </c>
      <c r="B51" t="str">
        <f t="shared" si="0"/>
        <v>FR-0830</v>
      </c>
      <c r="C51" s="10" t="s">
        <v>172</v>
      </c>
      <c r="D51" s="63">
        <v>830</v>
      </c>
      <c r="E51" s="63">
        <v>830</v>
      </c>
    </row>
    <row r="52" spans="1:5" ht="12.75">
      <c r="A52">
        <v>8</v>
      </c>
      <c r="B52" t="str">
        <f aca="true" t="shared" si="1" ref="B52:B65">CONCATENATE(C52,"-",TEXT(E52,"0000"))</f>
        <v>FR-1130</v>
      </c>
      <c r="C52" s="10" t="s">
        <v>172</v>
      </c>
      <c r="D52" s="63">
        <v>1130</v>
      </c>
      <c r="E52" s="63">
        <v>1130</v>
      </c>
    </row>
    <row r="53" spans="1:5" ht="12.75">
      <c r="A53">
        <v>9</v>
      </c>
      <c r="B53" t="str">
        <f>CONCATENATE(C53,"-",TEXT(E53,"0000"))</f>
        <v>FR-1430</v>
      </c>
      <c r="C53" s="10" t="s">
        <v>172</v>
      </c>
      <c r="D53" s="63">
        <v>1430</v>
      </c>
      <c r="E53" s="63">
        <v>1430</v>
      </c>
    </row>
    <row r="54" spans="1:5" ht="12.75">
      <c r="A54">
        <v>10</v>
      </c>
      <c r="B54" t="str">
        <f t="shared" si="1"/>
        <v>FR-1630</v>
      </c>
      <c r="C54" s="10" t="s">
        <v>172</v>
      </c>
      <c r="D54" s="63">
        <v>1630</v>
      </c>
      <c r="E54" s="63">
        <v>1630</v>
      </c>
    </row>
    <row r="55" spans="1:5" ht="12.75">
      <c r="A55">
        <v>11</v>
      </c>
      <c r="B55" t="str">
        <f t="shared" si="1"/>
        <v>FR-1730</v>
      </c>
      <c r="C55" s="10" t="s">
        <v>172</v>
      </c>
      <c r="D55" s="63">
        <v>1730</v>
      </c>
      <c r="E55" s="63">
        <v>1730</v>
      </c>
    </row>
    <row r="56" spans="1:5" ht="12.75">
      <c r="A56">
        <v>12</v>
      </c>
      <c r="B56" t="str">
        <f t="shared" si="1"/>
        <v>FR-1930</v>
      </c>
      <c r="C56" s="10" t="s">
        <v>172</v>
      </c>
      <c r="D56" s="63">
        <v>1930</v>
      </c>
      <c r="E56" s="63">
        <v>1930</v>
      </c>
    </row>
    <row r="57" spans="1:5" ht="12.75">
      <c r="A57">
        <v>13</v>
      </c>
      <c r="B57" t="str">
        <f t="shared" si="1"/>
        <v>SA-0830</v>
      </c>
      <c r="C57" s="10" t="s">
        <v>173</v>
      </c>
      <c r="D57" s="63">
        <v>830</v>
      </c>
      <c r="E57" s="63">
        <v>830</v>
      </c>
    </row>
    <row r="58" spans="1:5" ht="12.75">
      <c r="A58">
        <v>14</v>
      </c>
      <c r="B58" t="str">
        <f t="shared" si="1"/>
        <v>SA-1130</v>
      </c>
      <c r="C58" s="10" t="s">
        <v>173</v>
      </c>
      <c r="D58" s="63">
        <v>1130</v>
      </c>
      <c r="E58" s="63">
        <v>1130</v>
      </c>
    </row>
    <row r="59" spans="1:5" ht="12.75">
      <c r="A59">
        <v>15</v>
      </c>
      <c r="B59" t="str">
        <f t="shared" si="1"/>
        <v>SA-1430</v>
      </c>
      <c r="C59" s="10" t="s">
        <v>173</v>
      </c>
      <c r="D59" s="63">
        <v>1430</v>
      </c>
      <c r="E59" s="63">
        <v>1430</v>
      </c>
    </row>
    <row r="60" spans="1:5" ht="12.75">
      <c r="A60">
        <v>16</v>
      </c>
      <c r="B60" t="str">
        <f t="shared" si="1"/>
        <v>SA-1630</v>
      </c>
      <c r="C60" s="10" t="s">
        <v>173</v>
      </c>
      <c r="D60" s="63">
        <v>1630</v>
      </c>
      <c r="E60" s="63">
        <v>1630</v>
      </c>
    </row>
    <row r="61" spans="1:5" ht="12.75">
      <c r="A61">
        <v>17</v>
      </c>
      <c r="B61" t="str">
        <f t="shared" si="1"/>
        <v>SA-1730</v>
      </c>
      <c r="C61" s="10" t="s">
        <v>173</v>
      </c>
      <c r="D61" s="63">
        <v>1730</v>
      </c>
      <c r="E61" s="63">
        <v>1730</v>
      </c>
    </row>
    <row r="62" spans="1:5" ht="12.75">
      <c r="A62">
        <v>18</v>
      </c>
      <c r="B62" t="str">
        <f t="shared" si="1"/>
        <v>SA-1930</v>
      </c>
      <c r="C62" s="10" t="s">
        <v>173</v>
      </c>
      <c r="D62" s="63">
        <v>1930</v>
      </c>
      <c r="E62" s="63">
        <v>1930</v>
      </c>
    </row>
    <row r="63" spans="1:5" ht="12.75">
      <c r="A63">
        <v>19</v>
      </c>
      <c r="B63" t="str">
        <f t="shared" si="1"/>
        <v>SU-0830</v>
      </c>
      <c r="C63" s="10" t="s">
        <v>186</v>
      </c>
      <c r="D63" s="63">
        <v>830</v>
      </c>
      <c r="E63" s="63">
        <v>830</v>
      </c>
    </row>
    <row r="64" spans="1:5" ht="12.75">
      <c r="A64">
        <v>20</v>
      </c>
      <c r="B64" t="str">
        <f t="shared" si="1"/>
        <v>SU-1100</v>
      </c>
      <c r="C64" s="10" t="s">
        <v>186</v>
      </c>
      <c r="D64" s="63">
        <v>1100</v>
      </c>
      <c r="E64" s="63">
        <v>1100</v>
      </c>
    </row>
    <row r="65" spans="1:5" ht="12.75">
      <c r="A65">
        <v>21</v>
      </c>
      <c r="B65" t="str">
        <f t="shared" si="1"/>
        <v>SU-1430</v>
      </c>
      <c r="C65" s="10" t="s">
        <v>186</v>
      </c>
      <c r="D65" s="63">
        <v>1430</v>
      </c>
      <c r="E65" s="63">
        <v>1430</v>
      </c>
    </row>
    <row r="69" ht="12.75">
      <c r="A69" s="1" t="s">
        <v>174</v>
      </c>
    </row>
    <row r="70" spans="1:2" ht="12.75">
      <c r="A70" t="s">
        <v>175</v>
      </c>
      <c r="B70" t="s">
        <v>164</v>
      </c>
    </row>
    <row r="71" spans="1:2" ht="12.75">
      <c r="A71" t="s">
        <v>176</v>
      </c>
      <c r="B71" t="s">
        <v>110</v>
      </c>
    </row>
    <row r="72" spans="1:2" ht="12.75">
      <c r="A72" t="s">
        <v>188</v>
      </c>
      <c r="B72" t="s">
        <v>189</v>
      </c>
    </row>
    <row r="73" spans="1:2" ht="12.75">
      <c r="A73" t="s">
        <v>187</v>
      </c>
      <c r="B73" t="s">
        <v>165</v>
      </c>
    </row>
    <row r="74" spans="1:2" ht="12.75">
      <c r="A74" t="s">
        <v>203</v>
      </c>
      <c r="B74" t="s">
        <v>204</v>
      </c>
    </row>
    <row r="75" spans="1:2" ht="12.75">
      <c r="A75" t="s">
        <v>177</v>
      </c>
      <c r="B75" t="s">
        <v>167</v>
      </c>
    </row>
    <row r="76" spans="1:2" ht="12.75">
      <c r="A76" t="s">
        <v>191</v>
      </c>
      <c r="B76" t="s">
        <v>142</v>
      </c>
    </row>
    <row r="77" spans="1:2" ht="12.75">
      <c r="A77" t="s">
        <v>190</v>
      </c>
      <c r="B77" t="s">
        <v>111</v>
      </c>
    </row>
    <row r="78" spans="1:2" ht="12.75">
      <c r="A78" t="s">
        <v>178</v>
      </c>
      <c r="B78" t="s">
        <v>163</v>
      </c>
    </row>
    <row r="79" spans="1:2" ht="12.75">
      <c r="A79" t="s">
        <v>179</v>
      </c>
      <c r="B79" t="s">
        <v>109</v>
      </c>
    </row>
    <row r="80" spans="1:2" ht="12.75">
      <c r="A80" t="s">
        <v>180</v>
      </c>
      <c r="B80" t="s">
        <v>162</v>
      </c>
    </row>
    <row r="81" spans="1:2" ht="12.75">
      <c r="A81" t="s">
        <v>181</v>
      </c>
      <c r="B81" t="s">
        <v>107</v>
      </c>
    </row>
    <row r="82" spans="1:2" ht="12.75">
      <c r="A82" t="s">
        <v>182</v>
      </c>
      <c r="B82" t="s">
        <v>106</v>
      </c>
    </row>
    <row r="83" spans="1:2" ht="12.75">
      <c r="A83" t="s">
        <v>183</v>
      </c>
      <c r="B83" t="s">
        <v>108</v>
      </c>
    </row>
    <row r="84" spans="1:2" ht="12.75">
      <c r="A84" t="s">
        <v>184</v>
      </c>
      <c r="B84" t="s">
        <v>166</v>
      </c>
    </row>
  </sheetData>
  <mergeCells count="1">
    <mergeCell ref="F1:L1"/>
  </mergeCells>
  <printOptions horizontalCentered="1"/>
  <pageMargins left="0.7874015748031497" right="0.7874015748031497" top="0.7874015748031497" bottom="0.7874015748031497" header="0.3937007874015748" footer="0.3937007874015748"/>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49"/>
  <sheetViews>
    <sheetView tabSelected="1" zoomScale="95" zoomScaleNormal="95" workbookViewId="0" topLeftCell="A1">
      <selection activeCell="A1" sqref="A1:C1"/>
    </sheetView>
  </sheetViews>
  <sheetFormatPr defaultColWidth="9.140625" defaultRowHeight="12.75"/>
  <cols>
    <col min="1" max="1" width="20.28125" style="0" customWidth="1"/>
    <col min="2" max="2" width="49.8515625" style="0" customWidth="1"/>
    <col min="3" max="3" width="20.00390625" style="0" bestFit="1" customWidth="1"/>
    <col min="4" max="7" width="29.00390625" style="0" bestFit="1" customWidth="1"/>
    <col min="8" max="8" width="23.00390625" style="0" bestFit="1" customWidth="1"/>
  </cols>
  <sheetData>
    <row r="1" spans="1:3" ht="23.25">
      <c r="A1" s="105" t="s">
        <v>210</v>
      </c>
      <c r="B1" s="106"/>
      <c r="C1" s="106"/>
    </row>
    <row r="2" spans="1:3" ht="18">
      <c r="A2" s="107" t="s">
        <v>254</v>
      </c>
      <c r="B2" s="106"/>
      <c r="C2" s="106"/>
    </row>
    <row r="3" spans="1:8" ht="18">
      <c r="A3" s="107" t="s">
        <v>226</v>
      </c>
      <c r="B3" s="106"/>
      <c r="C3" s="106"/>
      <c r="H3" s="94"/>
    </row>
    <row r="4" ht="12.75">
      <c r="H4" s="94"/>
    </row>
    <row r="5" spans="1:8" ht="12.75">
      <c r="A5" s="93"/>
      <c r="B5" s="90" t="s">
        <v>323</v>
      </c>
      <c r="C5" s="93"/>
      <c r="D5" s="93"/>
      <c r="E5" s="93"/>
      <c r="F5" s="93"/>
      <c r="G5" s="93"/>
      <c r="H5" s="93"/>
    </row>
    <row r="6" spans="1:8" ht="12.75">
      <c r="A6" s="92"/>
      <c r="B6" s="91" t="s">
        <v>227</v>
      </c>
      <c r="C6" s="92"/>
      <c r="D6" s="92"/>
      <c r="E6" s="92"/>
      <c r="F6" s="92"/>
      <c r="G6" s="92"/>
      <c r="H6" s="92"/>
    </row>
    <row r="7" spans="1:8" ht="12.75">
      <c r="A7" s="92"/>
      <c r="B7" s="91" t="s">
        <v>233</v>
      </c>
      <c r="C7" s="92"/>
      <c r="D7" s="92"/>
      <c r="E7" s="92"/>
      <c r="F7" s="92"/>
      <c r="G7" s="92"/>
      <c r="H7" s="92"/>
    </row>
    <row r="8" spans="1:8" ht="12.75">
      <c r="A8" s="92"/>
      <c r="B8" s="91" t="s">
        <v>241</v>
      </c>
      <c r="C8" s="92"/>
      <c r="D8" s="92"/>
      <c r="E8" s="92"/>
      <c r="F8" s="92"/>
      <c r="G8" s="92"/>
      <c r="H8" s="92"/>
    </row>
    <row r="9" spans="1:8" ht="12.75">
      <c r="A9" s="92"/>
      <c r="B9" s="92"/>
      <c r="C9" s="92"/>
      <c r="D9" s="92"/>
      <c r="E9" s="92"/>
      <c r="F9" s="92"/>
      <c r="G9" s="92"/>
      <c r="H9" s="92"/>
    </row>
    <row r="10" spans="1:8" ht="12.75">
      <c r="A10" s="93"/>
      <c r="B10" s="90" t="s">
        <v>324</v>
      </c>
      <c r="C10" s="92"/>
      <c r="D10" s="92"/>
      <c r="E10" s="92"/>
      <c r="F10" s="92"/>
      <c r="G10" s="92"/>
      <c r="H10" s="92"/>
    </row>
    <row r="11" spans="1:2" ht="12.75">
      <c r="A11" s="92"/>
      <c r="B11" s="91" t="s">
        <v>228</v>
      </c>
    </row>
    <row r="12" spans="1:2" ht="12.75">
      <c r="A12" s="92"/>
      <c r="B12" s="91" t="s">
        <v>234</v>
      </c>
    </row>
    <row r="13" spans="1:2" ht="12.75">
      <c r="A13" s="92"/>
      <c r="B13" s="91" t="s">
        <v>242</v>
      </c>
    </row>
    <row r="14" ht="12.75">
      <c r="A14" s="94"/>
    </row>
    <row r="15" spans="1:2" ht="12.75">
      <c r="A15" s="93"/>
      <c r="B15" s="90" t="s">
        <v>325</v>
      </c>
    </row>
    <row r="16" spans="1:2" ht="12.75">
      <c r="A16" s="92"/>
      <c r="B16" s="91" t="s">
        <v>230</v>
      </c>
    </row>
    <row r="17" spans="1:2" ht="12.75">
      <c r="A17" s="92"/>
      <c r="B17" s="91" t="s">
        <v>236</v>
      </c>
    </row>
    <row r="18" spans="1:2" ht="12.75">
      <c r="A18" s="92"/>
      <c r="B18" s="91" t="s">
        <v>244</v>
      </c>
    </row>
    <row r="19" spans="1:2" ht="12.75">
      <c r="A19" s="92"/>
      <c r="B19" s="91" t="s">
        <v>250</v>
      </c>
    </row>
    <row r="20" ht="12.75">
      <c r="A20" s="94"/>
    </row>
    <row r="21" spans="1:2" ht="12.75">
      <c r="A21" s="93"/>
      <c r="B21" s="90" t="s">
        <v>326</v>
      </c>
    </row>
    <row r="22" spans="1:2" ht="12.75">
      <c r="A22" s="92"/>
      <c r="B22" s="91" t="s">
        <v>231</v>
      </c>
    </row>
    <row r="23" spans="1:2" ht="12.75">
      <c r="A23" s="92"/>
      <c r="B23" s="91" t="s">
        <v>237</v>
      </c>
    </row>
    <row r="24" spans="1:2" ht="12.75">
      <c r="A24" s="92"/>
      <c r="B24" s="91" t="s">
        <v>245</v>
      </c>
    </row>
    <row r="25" spans="1:2" ht="12.75">
      <c r="A25" s="92"/>
      <c r="B25" s="91" t="s">
        <v>251</v>
      </c>
    </row>
    <row r="26" ht="12.75">
      <c r="A26" s="94"/>
    </row>
    <row r="27" spans="1:2" ht="12.75">
      <c r="A27" s="93"/>
      <c r="B27" s="90" t="s">
        <v>327</v>
      </c>
    </row>
    <row r="28" spans="1:2" ht="12.75">
      <c r="A28" s="92"/>
      <c r="B28" s="91" t="s">
        <v>378</v>
      </c>
    </row>
    <row r="29" spans="1:2" ht="12.75">
      <c r="A29" s="92"/>
      <c r="B29" s="91" t="s">
        <v>238</v>
      </c>
    </row>
    <row r="30" spans="1:2" ht="12.75">
      <c r="A30" s="92"/>
      <c r="B30" s="91" t="s">
        <v>246</v>
      </c>
    </row>
    <row r="31" spans="1:2" ht="12.75">
      <c r="A31" s="92"/>
      <c r="B31" s="91" t="s">
        <v>252</v>
      </c>
    </row>
    <row r="32" spans="1:2" ht="12.75">
      <c r="A32" s="92"/>
      <c r="B32" s="92"/>
    </row>
    <row r="33" spans="1:2" ht="12.75">
      <c r="A33" s="93"/>
      <c r="B33" s="90" t="s">
        <v>328</v>
      </c>
    </row>
    <row r="34" spans="1:2" ht="12.75">
      <c r="A34" s="92"/>
      <c r="B34" s="91" t="s">
        <v>379</v>
      </c>
    </row>
    <row r="35" spans="1:2" ht="12.75">
      <c r="A35" s="92"/>
      <c r="B35" s="91" t="s">
        <v>239</v>
      </c>
    </row>
    <row r="36" spans="1:2" ht="12.75">
      <c r="A36" s="92"/>
      <c r="B36" s="91" t="s">
        <v>247</v>
      </c>
    </row>
    <row r="37" spans="1:2" ht="12.75">
      <c r="A37" s="92"/>
      <c r="B37" s="91" t="s">
        <v>380</v>
      </c>
    </row>
    <row r="38" ht="12.75">
      <c r="A38" s="94"/>
    </row>
    <row r="39" spans="1:2" ht="12.75">
      <c r="A39" s="93"/>
      <c r="B39" s="90" t="s">
        <v>329</v>
      </c>
    </row>
    <row r="40" spans="1:2" ht="12.75">
      <c r="A40" s="92"/>
      <c r="B40" s="91" t="s">
        <v>232</v>
      </c>
    </row>
    <row r="41" spans="1:2" ht="12.75">
      <c r="A41" s="92"/>
      <c r="B41" s="91" t="s">
        <v>240</v>
      </c>
    </row>
    <row r="42" spans="1:2" ht="12.75">
      <c r="A42" s="92"/>
      <c r="B42" s="91" t="s">
        <v>248</v>
      </c>
    </row>
    <row r="43" spans="1:2" ht="12.75">
      <c r="A43" s="92"/>
      <c r="B43" s="91" t="s">
        <v>253</v>
      </c>
    </row>
    <row r="44" ht="12.75">
      <c r="A44" s="94"/>
    </row>
    <row r="45" spans="1:2" ht="12.75">
      <c r="A45" s="93"/>
      <c r="B45" s="90" t="s">
        <v>330</v>
      </c>
    </row>
    <row r="46" spans="1:2" ht="12.75">
      <c r="A46" s="92"/>
      <c r="B46" s="91" t="s">
        <v>229</v>
      </c>
    </row>
    <row r="47" spans="1:2" ht="12.75">
      <c r="A47" s="92"/>
      <c r="B47" s="91" t="s">
        <v>235</v>
      </c>
    </row>
    <row r="48" spans="1:2" ht="12.75">
      <c r="A48" s="92"/>
      <c r="B48" s="91" t="s">
        <v>243</v>
      </c>
    </row>
    <row r="49" spans="1:2" ht="12.75">
      <c r="A49" s="92"/>
      <c r="B49" s="91" t="s">
        <v>249</v>
      </c>
    </row>
  </sheetData>
  <mergeCells count="3">
    <mergeCell ref="A1:C1"/>
    <mergeCell ref="A2:C2"/>
    <mergeCell ref="A3:C3"/>
  </mergeCells>
  <printOptions/>
  <pageMargins left="0.75" right="0.75" top="1" bottom="1" header="0.5" footer="0.5"/>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AN33"/>
  <sheetViews>
    <sheetView tabSelected="1" workbookViewId="0" topLeftCell="A1">
      <selection activeCell="A1" sqref="A1:C1"/>
    </sheetView>
  </sheetViews>
  <sheetFormatPr defaultColWidth="9.140625" defaultRowHeight="12.75"/>
  <cols>
    <col min="1" max="1" width="4.7109375" style="6" customWidth="1"/>
    <col min="2" max="2" width="18.7109375" style="6" customWidth="1"/>
    <col min="3" max="3" width="5.8515625" style="6" customWidth="1"/>
    <col min="4" max="6" width="4.7109375" style="6" customWidth="1"/>
    <col min="7" max="8" width="8.7109375" style="6" customWidth="1"/>
    <col min="9" max="9" width="9.140625" style="6" customWidth="1"/>
    <col min="10" max="10" width="4.7109375" style="6" customWidth="1"/>
    <col min="11" max="11" width="19.140625" style="6" customWidth="1"/>
    <col min="12" max="12" width="5.7109375" style="6" customWidth="1"/>
    <col min="13" max="15" width="4.7109375" style="6" customWidth="1"/>
    <col min="16" max="17" width="8.7109375" style="6" customWidth="1"/>
    <col min="18" max="40" width="3.7109375" style="6" hidden="1" customWidth="1"/>
    <col min="41" max="52" width="3.7109375" style="6" customWidth="1"/>
    <col min="53" max="16384" width="9.140625" style="6" customWidth="1"/>
  </cols>
  <sheetData>
    <row r="1" spans="1:17" ht="28.5" customHeight="1">
      <c r="A1" s="112" t="s">
        <v>210</v>
      </c>
      <c r="B1" s="112"/>
      <c r="C1" s="112"/>
      <c r="D1" s="112"/>
      <c r="E1" s="112"/>
      <c r="F1" s="112"/>
      <c r="G1" s="112"/>
      <c r="H1" s="112"/>
      <c r="I1" s="112"/>
      <c r="J1" s="112"/>
      <c r="K1" s="112"/>
      <c r="L1" s="112"/>
      <c r="M1" s="112"/>
      <c r="N1" s="112"/>
      <c r="O1" s="112"/>
      <c r="P1" s="112"/>
      <c r="Q1" s="112"/>
    </row>
    <row r="2" spans="1:29" ht="28.5" customHeight="1">
      <c r="A2" s="113" t="s">
        <v>219</v>
      </c>
      <c r="B2" s="113"/>
      <c r="C2" s="113"/>
      <c r="D2" s="113"/>
      <c r="E2" s="113"/>
      <c r="F2" s="113"/>
      <c r="G2" s="113"/>
      <c r="H2" s="113"/>
      <c r="I2" s="113"/>
      <c r="J2" s="113"/>
      <c r="K2" s="113"/>
      <c r="L2" s="113"/>
      <c r="M2" s="113"/>
      <c r="N2" s="113"/>
      <c r="O2" s="113"/>
      <c r="P2" s="113"/>
      <c r="Q2" s="113"/>
      <c r="R2" s="61" t="str">
        <f>Control!A3</f>
        <v>Men's A Grade</v>
      </c>
      <c r="S2" s="61" t="str">
        <f>Control!B3</f>
        <v>Kean Challenge Shield</v>
      </c>
      <c r="T2" s="61">
        <f>Control!C3</f>
        <v>9</v>
      </c>
      <c r="U2" s="61">
        <f>Control!D3</f>
        <v>1</v>
      </c>
      <c r="V2" s="61">
        <f>Control!E3</f>
        <v>1</v>
      </c>
      <c r="W2" s="61">
        <f>Control!F3</f>
        <v>6</v>
      </c>
      <c r="X2" s="61">
        <f>Control!G3</f>
        <v>8</v>
      </c>
      <c r="Y2" s="61">
        <f>Control!H3</f>
        <v>12</v>
      </c>
      <c r="Z2" s="61">
        <f>Control!I3</f>
        <v>14</v>
      </c>
      <c r="AA2" s="61">
        <f>Control!J3</f>
        <v>18</v>
      </c>
      <c r="AB2" s="61">
        <f>Control!K3</f>
        <v>21</v>
      </c>
      <c r="AC2" s="61">
        <f>Control!L3</f>
        <v>0</v>
      </c>
    </row>
    <row r="3" spans="1:17" ht="28.5" customHeight="1">
      <c r="A3" s="113"/>
      <c r="B3" s="113"/>
      <c r="C3" s="113"/>
      <c r="D3" s="113"/>
      <c r="E3" s="113"/>
      <c r="F3" s="113"/>
      <c r="G3" s="113"/>
      <c r="H3" s="113"/>
      <c r="I3" s="113"/>
      <c r="J3" s="113"/>
      <c r="K3" s="113"/>
      <c r="L3" s="113"/>
      <c r="M3" s="113"/>
      <c r="N3" s="113"/>
      <c r="O3" s="113"/>
      <c r="P3" s="113"/>
      <c r="Q3" s="113"/>
    </row>
    <row r="4" spans="1:17" ht="28.5" customHeight="1">
      <c r="A4" s="37"/>
      <c r="B4" s="37"/>
      <c r="C4" s="37"/>
      <c r="D4" s="37"/>
      <c r="E4" s="37"/>
      <c r="F4" s="37"/>
      <c r="G4" s="37"/>
      <c r="H4" s="37"/>
      <c r="I4" s="37"/>
      <c r="J4" s="37"/>
      <c r="K4" s="37"/>
      <c r="L4" s="37"/>
      <c r="M4" s="37"/>
      <c r="N4" s="37"/>
      <c r="O4" s="37"/>
      <c r="P4" s="37"/>
      <c r="Q4" s="37"/>
    </row>
    <row r="5" spans="1:23" ht="28.5" customHeight="1">
      <c r="A5" s="38" t="s">
        <v>55</v>
      </c>
      <c r="I5" s="39" t="s">
        <v>26</v>
      </c>
      <c r="J5" s="38" t="s">
        <v>66</v>
      </c>
      <c r="V5" s="55" t="s">
        <v>2</v>
      </c>
      <c r="W5" s="55" t="s">
        <v>2</v>
      </c>
    </row>
    <row r="6" spans="2:23" ht="28.5" customHeight="1">
      <c r="B6" s="28" t="s">
        <v>4</v>
      </c>
      <c r="C6" s="28">
        <v>1</v>
      </c>
      <c r="D6" s="28">
        <v>2</v>
      </c>
      <c r="E6" s="28">
        <v>3</v>
      </c>
      <c r="F6" s="28">
        <v>4</v>
      </c>
      <c r="G6" s="28" t="s">
        <v>0</v>
      </c>
      <c r="H6" s="28" t="s">
        <v>1</v>
      </c>
      <c r="K6" s="28" t="s">
        <v>5</v>
      </c>
      <c r="L6" s="28">
        <v>1</v>
      </c>
      <c r="M6" s="28">
        <v>2</v>
      </c>
      <c r="N6" s="28">
        <v>3</v>
      </c>
      <c r="O6" s="28">
        <v>4</v>
      </c>
      <c r="P6" s="28" t="s">
        <v>0</v>
      </c>
      <c r="Q6" s="28" t="s">
        <v>1</v>
      </c>
      <c r="V6" s="55" t="s">
        <v>2</v>
      </c>
      <c r="W6" s="55">
        <f>INT(T2/2)</f>
        <v>4</v>
      </c>
    </row>
    <row r="7" spans="1:40" ht="28.5" customHeight="1">
      <c r="A7" s="28">
        <v>1</v>
      </c>
      <c r="B7" s="60" t="str">
        <f>CONCATENATE(VLOOKUP(R7,clubs,2,)," ",S7)</f>
        <v>Auckland 1</v>
      </c>
      <c r="C7" s="41"/>
      <c r="D7" s="3" t="s">
        <v>365</v>
      </c>
      <c r="E7" s="3" t="s">
        <v>365</v>
      </c>
      <c r="F7" s="3" t="s">
        <v>365</v>
      </c>
      <c r="G7" s="7">
        <f>IF(COUNT(V7:Y7)&gt;0,SUM(AF7:AI7),"")</f>
        <v>3</v>
      </c>
      <c r="H7" s="7">
        <f>IF(COUNT(G7:G7)&gt;0,IF(SUM(G$7:G$10)&gt;0,RANK(G7,G$7:G$10,0),""),"")</f>
        <v>1</v>
      </c>
      <c r="J7" s="28">
        <v>1</v>
      </c>
      <c r="K7" s="60" t="str">
        <f>CONCATENATE(VLOOKUP(T7,clubs,2,)," ",U7)</f>
        <v>Counties Manukau 1</v>
      </c>
      <c r="L7" s="20"/>
      <c r="M7" s="3" t="s">
        <v>370</v>
      </c>
      <c r="N7" s="3" t="s">
        <v>365</v>
      </c>
      <c r="O7" s="3" t="s">
        <v>365</v>
      </c>
      <c r="P7" s="7">
        <f>IF(COUNT(AA7:AD7)&gt;0,SUM(AK7:AN7),"")</f>
        <v>2</v>
      </c>
      <c r="Q7" s="7">
        <f>IF(COUNT(P7:P7)&gt;0,IF(SUM(P$7:P$10)&gt;0,RANK(P7,P$7:P$10,0),""),"")</f>
        <v>2</v>
      </c>
      <c r="R7" s="6" t="s">
        <v>175</v>
      </c>
      <c r="S7" s="6">
        <v>1</v>
      </c>
      <c r="T7" s="6" t="s">
        <v>187</v>
      </c>
      <c r="U7" s="6">
        <v>1</v>
      </c>
      <c r="V7" s="21">
        <f aca="true" t="shared" si="0" ref="V7:Y10">IF(C7="","",VALUE(LEFT(C7)))</f>
      </c>
      <c r="W7" s="21">
        <f t="shared" si="0"/>
        <v>5</v>
      </c>
      <c r="X7" s="21">
        <f t="shared" si="0"/>
        <v>5</v>
      </c>
      <c r="Y7" s="21">
        <f t="shared" si="0"/>
        <v>5</v>
      </c>
      <c r="Z7" s="21"/>
      <c r="AA7" s="21">
        <f aca="true" t="shared" si="1" ref="AA7:AD10">IF(L7="","",VALUE(LEFT(L7)))</f>
      </c>
      <c r="AB7" s="21">
        <f t="shared" si="1"/>
        <v>0</v>
      </c>
      <c r="AC7" s="21">
        <f t="shared" si="1"/>
        <v>5</v>
      </c>
      <c r="AD7" s="21">
        <f t="shared" si="1"/>
        <v>5</v>
      </c>
      <c r="AF7" s="6">
        <f aca="true" t="shared" si="2" ref="AF7:AI10">IF(C7="","",IF(V7&gt;$W$6,1,""))</f>
      </c>
      <c r="AG7" s="55">
        <f t="shared" si="2"/>
        <v>1</v>
      </c>
      <c r="AH7" s="55">
        <f t="shared" si="2"/>
        <v>1</v>
      </c>
      <c r="AI7" s="55">
        <f t="shared" si="2"/>
        <v>1</v>
      </c>
      <c r="AJ7" s="55"/>
      <c r="AK7" s="55">
        <f aca="true" t="shared" si="3" ref="AK7:AN10">IF(L7="","",IF(AA7&gt;$W$6,1,""))</f>
      </c>
      <c r="AL7" s="55">
        <f t="shared" si="3"/>
      </c>
      <c r="AM7" s="55">
        <f t="shared" si="3"/>
        <v>1</v>
      </c>
      <c r="AN7" s="55">
        <f t="shared" si="3"/>
        <v>1</v>
      </c>
    </row>
    <row r="8" spans="1:40" ht="28.5" customHeight="1">
      <c r="A8" s="28">
        <v>2</v>
      </c>
      <c r="B8" s="42" t="str">
        <f>CONCATENATE(VLOOKUP(R8,clubs,2,)," ",S8)</f>
        <v>Counties Manukau 2</v>
      </c>
      <c r="C8" s="16" t="str">
        <f>IF(ISBLANK(D7),"",CONCATENATE(RIGHT(D7),"-",LEFT(D7)))</f>
        <v>0-5</v>
      </c>
      <c r="D8" s="20"/>
      <c r="E8" s="3" t="s">
        <v>367</v>
      </c>
      <c r="F8" s="3" t="s">
        <v>365</v>
      </c>
      <c r="G8" s="7">
        <v>2</v>
      </c>
      <c r="H8" s="7">
        <f>IF(COUNT(G8:G8)&gt;0,IF(SUM(G$7:G$10)&gt;0,RANK(G8,G$7:G$10,0),""),"")</f>
        <v>2</v>
      </c>
      <c r="J8" s="28">
        <v>2</v>
      </c>
      <c r="K8" s="42" t="str">
        <f>CONCATENATE(VLOOKUP(T8,clubs,2,)," ",U8)</f>
        <v>Auckland 2</v>
      </c>
      <c r="L8" s="16" t="str">
        <f>IF(ISBLANK(M7),"",CONCATENATE(RIGHT(M7),"-",LEFT(M7)))</f>
        <v>5-0</v>
      </c>
      <c r="M8" s="20"/>
      <c r="N8" s="3" t="s">
        <v>365</v>
      </c>
      <c r="O8" s="3" t="s">
        <v>365</v>
      </c>
      <c r="P8" s="7">
        <f>IF(COUNT(AA8:AD8)&gt;0,SUM(AK8:AN8),"")</f>
        <v>3</v>
      </c>
      <c r="Q8" s="7">
        <f>IF(COUNT(P8:P8)&gt;0,IF(SUM(P$7:P$10)&gt;0,RANK(P8,P$7:P$10,0),""),"")</f>
        <v>1</v>
      </c>
      <c r="R8" s="6" t="s">
        <v>187</v>
      </c>
      <c r="S8" s="6">
        <v>2</v>
      </c>
      <c r="T8" s="6" t="s">
        <v>175</v>
      </c>
      <c r="U8" s="6">
        <v>2</v>
      </c>
      <c r="V8" s="21">
        <f t="shared" si="0"/>
        <v>0</v>
      </c>
      <c r="W8" s="21">
        <f t="shared" si="0"/>
      </c>
      <c r="X8" s="21">
        <f t="shared" si="0"/>
        <v>3</v>
      </c>
      <c r="Y8" s="21">
        <f t="shared" si="0"/>
        <v>5</v>
      </c>
      <c r="Z8" s="21"/>
      <c r="AA8" s="21">
        <f t="shared" si="1"/>
        <v>5</v>
      </c>
      <c r="AB8" s="21">
        <f t="shared" si="1"/>
      </c>
      <c r="AC8" s="21">
        <f t="shared" si="1"/>
        <v>5</v>
      </c>
      <c r="AD8" s="21">
        <f t="shared" si="1"/>
        <v>5</v>
      </c>
      <c r="AF8" s="6">
        <f t="shared" si="2"/>
      </c>
      <c r="AG8" s="55">
        <f t="shared" si="2"/>
      </c>
      <c r="AH8" s="55">
        <f t="shared" si="2"/>
      </c>
      <c r="AI8" s="55">
        <f t="shared" si="2"/>
        <v>1</v>
      </c>
      <c r="AJ8" s="55"/>
      <c r="AK8" s="55">
        <f t="shared" si="3"/>
        <v>1</v>
      </c>
      <c r="AL8" s="55">
        <f t="shared" si="3"/>
      </c>
      <c r="AM8" s="55">
        <f t="shared" si="3"/>
        <v>1</v>
      </c>
      <c r="AN8" s="55">
        <f t="shared" si="3"/>
        <v>1</v>
      </c>
    </row>
    <row r="9" spans="1:40" ht="28.5" customHeight="1">
      <c r="A9" s="28">
        <v>3</v>
      </c>
      <c r="B9" s="42" t="str">
        <f>CONCATENATE(VLOOKUP(R9,clubs,2,)," ",S9)</f>
        <v>North Harbour 1</v>
      </c>
      <c r="C9" s="16" t="str">
        <f>IF(ISBLANK(E7),"",CONCATENATE(RIGHT(E7),"-",LEFT(E7)))</f>
        <v>0-5</v>
      </c>
      <c r="D9" s="16" t="str">
        <f>IF(ISBLANK(E8),"",CONCATENATE(RIGHT(E8),"-",LEFT(E8)))</f>
        <v>2-3</v>
      </c>
      <c r="E9" s="20"/>
      <c r="F9" s="3" t="s">
        <v>366</v>
      </c>
      <c r="G9" s="7">
        <v>1</v>
      </c>
      <c r="H9" s="7">
        <f>IF(COUNT(G9:G9)&gt;0,IF(SUM(G$7:G$10)&gt;0,RANK(G9,G$7:G$10,0),""),"")</f>
        <v>3</v>
      </c>
      <c r="J9" s="28">
        <v>3</v>
      </c>
      <c r="K9" s="60" t="str">
        <f>CONCATENATE(VLOOKUP(T9,clubs,2,)," ",U9)</f>
        <v>Counties Manukau 3</v>
      </c>
      <c r="L9" s="16" t="str">
        <f>IF(ISBLANK(N7),"",CONCATENATE(RIGHT(N7),"-",LEFT(N7)))</f>
        <v>0-5</v>
      </c>
      <c r="M9" s="16" t="str">
        <f>IF(ISBLANK(N8),"",CONCATENATE(RIGHT(N8),"-",LEFT(N8)))</f>
        <v>0-5</v>
      </c>
      <c r="N9" s="20"/>
      <c r="O9" s="3" t="s">
        <v>367</v>
      </c>
      <c r="P9" s="7">
        <v>1</v>
      </c>
      <c r="Q9" s="7">
        <f>IF(COUNT(P9:P9)&gt;0,IF(SUM(P$7:P$10)&gt;0,RANK(P9,P$7:P$10,0),""),"")</f>
        <v>3</v>
      </c>
      <c r="R9" s="6" t="s">
        <v>178</v>
      </c>
      <c r="S9" s="6">
        <v>1</v>
      </c>
      <c r="T9" s="6" t="s">
        <v>187</v>
      </c>
      <c r="U9" s="6">
        <v>3</v>
      </c>
      <c r="V9" s="21">
        <f t="shared" si="0"/>
        <v>0</v>
      </c>
      <c r="W9" s="21">
        <f t="shared" si="0"/>
        <v>2</v>
      </c>
      <c r="X9" s="21">
        <f t="shared" si="0"/>
      </c>
      <c r="Y9" s="21">
        <f t="shared" si="0"/>
        <v>4</v>
      </c>
      <c r="Z9" s="21"/>
      <c r="AA9" s="21">
        <f t="shared" si="1"/>
        <v>0</v>
      </c>
      <c r="AB9" s="21">
        <f t="shared" si="1"/>
        <v>0</v>
      </c>
      <c r="AC9" s="21">
        <f t="shared" si="1"/>
      </c>
      <c r="AD9" s="21">
        <f t="shared" si="1"/>
        <v>3</v>
      </c>
      <c r="AF9" s="6">
        <f t="shared" si="2"/>
      </c>
      <c r="AG9" s="55">
        <f t="shared" si="2"/>
      </c>
      <c r="AH9" s="55">
        <f t="shared" si="2"/>
      </c>
      <c r="AI9" s="55">
        <f t="shared" si="2"/>
      </c>
      <c r="AJ9" s="55"/>
      <c r="AK9" s="55">
        <f t="shared" si="3"/>
      </c>
      <c r="AL9" s="55">
        <f t="shared" si="3"/>
      </c>
      <c r="AM9" s="55">
        <f t="shared" si="3"/>
      </c>
      <c r="AN9" s="55">
        <f t="shared" si="3"/>
      </c>
    </row>
    <row r="10" spans="1:40" ht="28.5" customHeight="1">
      <c r="A10" s="28">
        <v>4</v>
      </c>
      <c r="B10" s="42" t="str">
        <f>CONCATENATE(VLOOKUP(R10,clubs,2,)," ",S10)</f>
        <v>Counties Manukau 4</v>
      </c>
      <c r="C10" s="16" t="str">
        <f>IF(ISBLANK(F7),"",CONCATENATE(RIGHT(F7),"-",LEFT(F7)))</f>
        <v>0-5</v>
      </c>
      <c r="D10" s="16" t="str">
        <f>IF(ISBLANK(F8),"",CONCATENATE(RIGHT(F8),"-",LEFT(F8)))</f>
        <v>0-5</v>
      </c>
      <c r="E10" s="16" t="str">
        <f>IF(ISBLANK(F9),"",CONCATENATE(RIGHT(F9),"-",LEFT(F9)))</f>
        <v>1-4</v>
      </c>
      <c r="F10" s="20"/>
      <c r="G10" s="7">
        <f>IF(COUNT(V10:Y10)&gt;0,SUM(AF10:AI10),"")</f>
        <v>0</v>
      </c>
      <c r="H10" s="7">
        <f>IF(COUNT(G10:G10)&gt;0,IF(SUM(G$7:G$10)&gt;0,RANK(G10,G$7:G$10,0),""),"")</f>
        <v>4</v>
      </c>
      <c r="J10" s="28">
        <v>4</v>
      </c>
      <c r="K10" s="60" t="str">
        <f>CONCATENATE(VLOOKUP(T10,clubs,2,)," ",U10)</f>
        <v>Waitemata 1</v>
      </c>
      <c r="L10" s="16" t="str">
        <f>IF(ISBLANK(O7),"",CONCATENATE(RIGHT(O7),"-",LEFT(O7)))</f>
        <v>0-5</v>
      </c>
      <c r="M10" s="16" t="str">
        <f>IF(ISBLANK(O8),"",CONCATENATE(RIGHT(O8),"-",LEFT(O8)))</f>
        <v>0-5</v>
      </c>
      <c r="N10" s="16" t="str">
        <f>IF(ISBLANK(O9),"",CONCATENATE(RIGHT(O9),"-",LEFT(O9)))</f>
        <v>2-3</v>
      </c>
      <c r="O10" s="20"/>
      <c r="P10" s="7">
        <f>IF(COUNT(AA10:AD10)&gt;0,SUM(AK10:AN10),"")</f>
        <v>0</v>
      </c>
      <c r="Q10" s="7">
        <f>IF(COUNT(P10:P10)&gt;0,IF(SUM(P$7:P$10)&gt;0,RANK(P10,P$7:P$10,0),""),"")</f>
        <v>4</v>
      </c>
      <c r="R10" s="6" t="s">
        <v>187</v>
      </c>
      <c r="S10" s="6">
        <v>4</v>
      </c>
      <c r="T10" s="6" t="s">
        <v>184</v>
      </c>
      <c r="U10" s="6">
        <v>1</v>
      </c>
      <c r="V10" s="21">
        <f t="shared" si="0"/>
        <v>0</v>
      </c>
      <c r="W10" s="21">
        <f t="shared" si="0"/>
        <v>0</v>
      </c>
      <c r="X10" s="21">
        <f t="shared" si="0"/>
        <v>1</v>
      </c>
      <c r="Y10" s="21">
        <f t="shared" si="0"/>
      </c>
      <c r="Z10" s="21"/>
      <c r="AA10" s="21">
        <f t="shared" si="1"/>
        <v>0</v>
      </c>
      <c r="AB10" s="21">
        <f t="shared" si="1"/>
        <v>0</v>
      </c>
      <c r="AC10" s="21">
        <f t="shared" si="1"/>
        <v>2</v>
      </c>
      <c r="AD10" s="21">
        <f t="shared" si="1"/>
      </c>
      <c r="AF10" s="6">
        <f t="shared" si="2"/>
      </c>
      <c r="AG10" s="55">
        <f t="shared" si="2"/>
      </c>
      <c r="AH10" s="55">
        <f t="shared" si="2"/>
      </c>
      <c r="AI10" s="55">
        <f t="shared" si="2"/>
      </c>
      <c r="AJ10" s="55"/>
      <c r="AK10" s="55">
        <f t="shared" si="3"/>
      </c>
      <c r="AL10" s="55">
        <f t="shared" si="3"/>
      </c>
      <c r="AM10" s="55">
        <f t="shared" si="3"/>
      </c>
      <c r="AN10" s="55">
        <f t="shared" si="3"/>
      </c>
    </row>
    <row r="11" spans="18:21" ht="28.5" customHeight="1">
      <c r="R11" s="6" t="s">
        <v>182</v>
      </c>
      <c r="S11" s="6" t="s">
        <v>201</v>
      </c>
      <c r="T11" s="6" t="s">
        <v>182</v>
      </c>
      <c r="U11" s="6" t="s">
        <v>201</v>
      </c>
    </row>
    <row r="12" spans="2:23" ht="28.5" customHeight="1">
      <c r="B12" s="28" t="s">
        <v>9</v>
      </c>
      <c r="C12" s="114" t="str">
        <f>CONCATENATE("Table ",R12)</f>
        <v>Table 6</v>
      </c>
      <c r="D12" s="115"/>
      <c r="E12" s="114" t="str">
        <f>CONCATENATE("Table ",T12)</f>
        <v>Table 7</v>
      </c>
      <c r="F12" s="115"/>
      <c r="G12" s="28" t="str">
        <f>CONCATENATE("Table ",V12)</f>
        <v>Table 8</v>
      </c>
      <c r="H12" s="28" t="str">
        <f>CONCATENATE("Table ",W12)</f>
        <v>Table 9</v>
      </c>
      <c r="R12" s="6">
        <v>6</v>
      </c>
      <c r="T12" s="6">
        <v>7</v>
      </c>
      <c r="V12" s="6">
        <f>T12+1</f>
        <v>8</v>
      </c>
      <c r="W12" s="6">
        <f>V12+1</f>
        <v>9</v>
      </c>
    </row>
    <row r="13" spans="2:20" ht="28.5" customHeight="1">
      <c r="B13" s="28" t="s">
        <v>212</v>
      </c>
      <c r="C13" s="108" t="s">
        <v>43</v>
      </c>
      <c r="D13" s="108"/>
      <c r="E13" s="108" t="s">
        <v>44</v>
      </c>
      <c r="F13" s="108"/>
      <c r="G13" s="43" t="s">
        <v>45</v>
      </c>
      <c r="H13" s="43" t="s">
        <v>46</v>
      </c>
      <c r="K13" s="69"/>
      <c r="S13" s="6">
        <f>W2</f>
        <v>6</v>
      </c>
      <c r="T13" s="6" t="s">
        <v>2</v>
      </c>
    </row>
    <row r="14" spans="2:19" ht="28.5" customHeight="1">
      <c r="B14" s="28" t="s">
        <v>213</v>
      </c>
      <c r="C14" s="108" t="s">
        <v>49</v>
      </c>
      <c r="D14" s="108"/>
      <c r="E14" s="108" t="s">
        <v>50</v>
      </c>
      <c r="F14" s="108"/>
      <c r="G14" s="29" t="s">
        <v>47</v>
      </c>
      <c r="H14" s="29" t="s">
        <v>48</v>
      </c>
      <c r="K14" s="69"/>
      <c r="S14" s="6">
        <f>X2</f>
        <v>8</v>
      </c>
    </row>
    <row r="15" spans="2:19" ht="28.5" customHeight="1">
      <c r="B15" s="28" t="s">
        <v>214</v>
      </c>
      <c r="C15" s="108" t="s">
        <v>54</v>
      </c>
      <c r="D15" s="108"/>
      <c r="E15" s="108" t="s">
        <v>51</v>
      </c>
      <c r="F15" s="108"/>
      <c r="G15" s="29" t="s">
        <v>53</v>
      </c>
      <c r="H15" s="29" t="s">
        <v>52</v>
      </c>
      <c r="K15" s="69"/>
      <c r="S15" s="6">
        <f>Y2</f>
        <v>12</v>
      </c>
    </row>
    <row r="16" spans="2:19" ht="28.5" customHeight="1">
      <c r="B16" s="44"/>
      <c r="C16" s="45"/>
      <c r="D16" s="45"/>
      <c r="E16" s="45"/>
      <c r="F16" s="45"/>
      <c r="K16" s="44"/>
      <c r="L16" s="45"/>
      <c r="M16" s="45"/>
      <c r="N16" s="45"/>
      <c r="O16" s="45"/>
      <c r="S16" s="6" t="s">
        <v>2</v>
      </c>
    </row>
    <row r="17" spans="1:10" ht="28.5" customHeight="1">
      <c r="A17" s="38" t="s">
        <v>55</v>
      </c>
      <c r="I17" s="39" t="s">
        <v>27</v>
      </c>
      <c r="J17" s="38" t="s">
        <v>66</v>
      </c>
    </row>
    <row r="18" spans="2:17" ht="28.5" customHeight="1">
      <c r="B18" s="46" t="s">
        <v>64</v>
      </c>
      <c r="C18" s="46"/>
      <c r="D18" s="71"/>
      <c r="E18" s="71"/>
      <c r="F18" s="71"/>
      <c r="G18" s="71"/>
      <c r="H18" s="72"/>
      <c r="K18" s="46" t="s">
        <v>65</v>
      </c>
      <c r="L18" s="46"/>
      <c r="M18" s="77"/>
      <c r="N18" s="77"/>
      <c r="O18" s="77"/>
      <c r="P18" s="77"/>
      <c r="Q18" s="78"/>
    </row>
    <row r="19" spans="1:40" ht="28.5" customHeight="1">
      <c r="A19" s="28" t="s">
        <v>56</v>
      </c>
      <c r="B19" s="4" t="str">
        <f>IF(SUM($G$7:$G$10)=6,INDEX($B$7:$B$10,MATCH(1,$H$7:$H$10,0)),"")</f>
        <v>Auckland 1</v>
      </c>
      <c r="C19" s="101" t="s">
        <v>372</v>
      </c>
      <c r="D19" s="74"/>
      <c r="E19" s="74"/>
      <c r="F19" s="75"/>
      <c r="G19" s="76"/>
      <c r="H19" s="76"/>
      <c r="J19" s="28" t="s">
        <v>60</v>
      </c>
      <c r="K19" s="4" t="str">
        <f>IF(SUM($G$7:$G$10)=6,INDEX($B$7:$B$10,MATCH(3,$H$7:$H$10,0)),"")</f>
        <v>North Harbour 1</v>
      </c>
      <c r="L19" s="98" t="s">
        <v>375</v>
      </c>
      <c r="M19" s="80"/>
      <c r="N19" s="80"/>
      <c r="O19" s="81"/>
      <c r="P19" s="82"/>
      <c r="Q19" s="82"/>
      <c r="V19" s="21">
        <f aca="true" t="shared" si="4" ref="V19:Y23">IF(C19="","",VALUE(LEFT(C19)))</f>
        <v>4</v>
      </c>
      <c r="W19" s="21">
        <f t="shared" si="4"/>
      </c>
      <c r="X19" s="21">
        <f t="shared" si="4"/>
      </c>
      <c r="Y19" s="21">
        <f t="shared" si="4"/>
      </c>
      <c r="Z19" s="21"/>
      <c r="AA19" s="21">
        <f aca="true" t="shared" si="5" ref="AA19:AD23">IF(L19="","",VALUE(LEFT(L19)))</f>
        <v>2</v>
      </c>
      <c r="AB19" s="21">
        <f t="shared" si="5"/>
      </c>
      <c r="AC19" s="21">
        <f t="shared" si="5"/>
      </c>
      <c r="AD19" s="21">
        <f t="shared" si="5"/>
      </c>
      <c r="AF19" s="6">
        <f aca="true" t="shared" si="6" ref="AF19:AI23">IF(C19="","",IF(V19&gt;$W$6,1,""))</f>
      </c>
      <c r="AG19" s="55">
        <f t="shared" si="6"/>
      </c>
      <c r="AH19" s="55">
        <f t="shared" si="6"/>
      </c>
      <c r="AI19" s="55">
        <f t="shared" si="6"/>
      </c>
      <c r="AJ19" s="55"/>
      <c r="AK19" s="55">
        <f aca="true" t="shared" si="7" ref="AK19:AN23">IF(L19="","",IF(AA19&gt;$W$6,1,""))</f>
      </c>
      <c r="AL19" s="55">
        <f t="shared" si="7"/>
      </c>
      <c r="AM19" s="55">
        <f t="shared" si="7"/>
      </c>
      <c r="AN19" s="55">
        <f t="shared" si="7"/>
      </c>
    </row>
    <row r="20" spans="1:40" ht="28.5" customHeight="1">
      <c r="A20" s="28" t="s">
        <v>57</v>
      </c>
      <c r="B20" s="4" t="str">
        <f>IF(SUM($P$7:$P$10)=6,INDEX($K$7:$K$10,MATCH(1,$Q$7:$Q$10,0)),"")</f>
        <v>Auckland 2</v>
      </c>
      <c r="C20" s="101" t="s">
        <v>373</v>
      </c>
      <c r="D20" s="73"/>
      <c r="E20" s="75"/>
      <c r="F20" s="74"/>
      <c r="G20" s="76"/>
      <c r="H20" s="76"/>
      <c r="J20" s="28" t="s">
        <v>61</v>
      </c>
      <c r="K20" s="4" t="str">
        <f>IF(SUM($P$7:$P$10)=6,INDEX($K$7:$K$10,MATCH(3,$Q$7:$Q$10,0)),"")</f>
        <v>Counties Manukau 3</v>
      </c>
      <c r="L20" s="98" t="s">
        <v>374</v>
      </c>
      <c r="M20" s="79"/>
      <c r="N20" s="83"/>
      <c r="O20" s="80"/>
      <c r="P20" s="82"/>
      <c r="Q20" s="82"/>
      <c r="V20" s="21">
        <f t="shared" si="4"/>
        <v>1</v>
      </c>
      <c r="W20" s="21">
        <f t="shared" si="4"/>
      </c>
      <c r="X20" s="21">
        <f t="shared" si="4"/>
      </c>
      <c r="Y20" s="21">
        <f t="shared" si="4"/>
      </c>
      <c r="Z20" s="21"/>
      <c r="AA20" s="21">
        <f t="shared" si="5"/>
        <v>3</v>
      </c>
      <c r="AB20" s="21">
        <f t="shared" si="5"/>
      </c>
      <c r="AC20" s="21">
        <f t="shared" si="5"/>
      </c>
      <c r="AD20" s="21">
        <f t="shared" si="5"/>
      </c>
      <c r="AF20" s="6">
        <f t="shared" si="6"/>
      </c>
      <c r="AG20" s="55">
        <f t="shared" si="6"/>
      </c>
      <c r="AH20" s="55">
        <f t="shared" si="6"/>
      </c>
      <c r="AI20" s="55">
        <f t="shared" si="6"/>
      </c>
      <c r="AJ20" s="55"/>
      <c r="AK20" s="55">
        <f t="shared" si="7"/>
      </c>
      <c r="AL20" s="55">
        <f t="shared" si="7"/>
      </c>
      <c r="AM20" s="55">
        <f t="shared" si="7"/>
      </c>
      <c r="AN20" s="55">
        <f t="shared" si="7"/>
      </c>
    </row>
    <row r="21" spans="1:40" ht="28.5" customHeight="1">
      <c r="A21" s="44"/>
      <c r="B21" s="96"/>
      <c r="C21" s="73"/>
      <c r="D21" s="73"/>
      <c r="E21" s="75"/>
      <c r="F21" s="74"/>
      <c r="G21" s="76"/>
      <c r="H21" s="76"/>
      <c r="I21" s="17"/>
      <c r="J21" s="44"/>
      <c r="K21" s="96"/>
      <c r="L21" s="79"/>
      <c r="M21" s="79"/>
      <c r="N21" s="83"/>
      <c r="O21" s="80"/>
      <c r="P21" s="82"/>
      <c r="Q21" s="82"/>
      <c r="V21" s="21"/>
      <c r="W21" s="21"/>
      <c r="X21" s="21"/>
      <c r="Y21" s="21"/>
      <c r="Z21" s="21"/>
      <c r="AA21" s="21"/>
      <c r="AB21" s="21"/>
      <c r="AC21" s="21"/>
      <c r="AD21" s="21"/>
      <c r="AG21" s="55"/>
      <c r="AH21" s="55"/>
      <c r="AI21" s="55"/>
      <c r="AJ21" s="55"/>
      <c r="AK21" s="55"/>
      <c r="AL21" s="55"/>
      <c r="AM21" s="55"/>
      <c r="AN21" s="55"/>
    </row>
    <row r="22" spans="1:40" ht="28.5" customHeight="1">
      <c r="A22" s="28" t="s">
        <v>58</v>
      </c>
      <c r="B22" s="4" t="str">
        <f>IF(SUM($P$7:$P$10)=6,INDEX($K$7:$K$10,MATCH(2,$Q$7:$Q$10,0)),"")</f>
        <v>Counties Manukau 1</v>
      </c>
      <c r="C22" s="101" t="s">
        <v>375</v>
      </c>
      <c r="D22" s="75"/>
      <c r="E22" s="73"/>
      <c r="F22" s="74"/>
      <c r="G22" s="76"/>
      <c r="H22" s="76"/>
      <c r="J22" s="28" t="s">
        <v>62</v>
      </c>
      <c r="K22" s="4" t="str">
        <f>IF(SUM($P$7:$P$10)=6,INDEX($K$7:$K$10,MATCH(4,$Q$7:$Q$10,0)),"")</f>
        <v>Waitemata 1</v>
      </c>
      <c r="L22" s="98" t="s">
        <v>375</v>
      </c>
      <c r="M22" s="83"/>
      <c r="N22" s="79"/>
      <c r="O22" s="80"/>
      <c r="P22" s="82"/>
      <c r="Q22" s="82"/>
      <c r="V22" s="21">
        <f t="shared" si="4"/>
        <v>2</v>
      </c>
      <c r="W22" s="21">
        <f t="shared" si="4"/>
      </c>
      <c r="X22" s="21">
        <f t="shared" si="4"/>
      </c>
      <c r="Y22" s="21">
        <f t="shared" si="4"/>
      </c>
      <c r="Z22" s="21"/>
      <c r="AA22" s="21">
        <f t="shared" si="5"/>
        <v>2</v>
      </c>
      <c r="AB22" s="21">
        <f t="shared" si="5"/>
      </c>
      <c r="AC22" s="21">
        <f t="shared" si="5"/>
      </c>
      <c r="AD22" s="21">
        <f t="shared" si="5"/>
      </c>
      <c r="AF22" s="6">
        <f t="shared" si="6"/>
      </c>
      <c r="AG22" s="55">
        <f t="shared" si="6"/>
      </c>
      <c r="AH22" s="55">
        <f t="shared" si="6"/>
      </c>
      <c r="AI22" s="55">
        <f t="shared" si="6"/>
      </c>
      <c r="AJ22" s="55"/>
      <c r="AK22" s="55">
        <f t="shared" si="7"/>
      </c>
      <c r="AL22" s="55">
        <f t="shared" si="7"/>
      </c>
      <c r="AM22" s="55">
        <f t="shared" si="7"/>
      </c>
      <c r="AN22" s="55">
        <f t="shared" si="7"/>
      </c>
    </row>
    <row r="23" spans="1:40" ht="28.5" customHeight="1">
      <c r="A23" s="28" t="s">
        <v>59</v>
      </c>
      <c r="B23" s="4" t="str">
        <f>IF(SUM($G$7:$G$10)=6,INDEX($B$7:$B$10,MATCH(2,$H$7:$H$10,0)),"")</f>
        <v>Counties Manukau 2</v>
      </c>
      <c r="C23" s="100">
        <v>3</v>
      </c>
      <c r="D23" s="73"/>
      <c r="E23" s="73"/>
      <c r="F23" s="73"/>
      <c r="G23" s="76"/>
      <c r="H23" s="76"/>
      <c r="J23" s="28" t="s">
        <v>63</v>
      </c>
      <c r="K23" s="4" t="str">
        <f>IF(SUM($G$7:$G$10)=6,INDEX($B$7:$B$10,MATCH(4,$H$7:$H$10,0)),"")</f>
        <v>Counties Manukau 4</v>
      </c>
      <c r="L23" s="100">
        <v>3</v>
      </c>
      <c r="M23" s="79"/>
      <c r="N23" s="79"/>
      <c r="O23" s="79"/>
      <c r="P23" s="82"/>
      <c r="Q23" s="82"/>
      <c r="V23" s="21">
        <f t="shared" si="4"/>
        <v>3</v>
      </c>
      <c r="W23" s="21">
        <f t="shared" si="4"/>
      </c>
      <c r="X23" s="21">
        <f t="shared" si="4"/>
      </c>
      <c r="Y23" s="21">
        <f t="shared" si="4"/>
      </c>
      <c r="Z23" s="21"/>
      <c r="AA23" s="21">
        <f t="shared" si="5"/>
        <v>3</v>
      </c>
      <c r="AB23" s="21">
        <f t="shared" si="5"/>
      </c>
      <c r="AC23" s="21">
        <f t="shared" si="5"/>
      </c>
      <c r="AD23" s="21">
        <f t="shared" si="5"/>
      </c>
      <c r="AF23" s="6">
        <f t="shared" si="6"/>
      </c>
      <c r="AG23" s="55">
        <f t="shared" si="6"/>
      </c>
      <c r="AH23" s="55">
        <f t="shared" si="6"/>
      </c>
      <c r="AI23" s="55">
        <f t="shared" si="6"/>
      </c>
      <c r="AJ23" s="55"/>
      <c r="AK23" s="55">
        <f t="shared" si="7"/>
      </c>
      <c r="AL23" s="55">
        <f t="shared" si="7"/>
      </c>
      <c r="AM23" s="55">
        <f t="shared" si="7"/>
      </c>
      <c r="AN23" s="55">
        <f t="shared" si="7"/>
      </c>
    </row>
    <row r="24" ht="28.5" customHeight="1">
      <c r="N24" s="6" t="s">
        <v>2</v>
      </c>
    </row>
    <row r="25" spans="2:24" ht="28.5" customHeight="1">
      <c r="B25" s="28" t="s">
        <v>9</v>
      </c>
      <c r="C25" s="114" t="s">
        <v>319</v>
      </c>
      <c r="D25" s="115"/>
      <c r="E25" s="114" t="s">
        <v>320</v>
      </c>
      <c r="F25" s="115"/>
      <c r="K25" s="28" t="s">
        <v>9</v>
      </c>
      <c r="L25" s="114" t="s">
        <v>321</v>
      </c>
      <c r="M25" s="115"/>
      <c r="N25" s="114" t="s">
        <v>322</v>
      </c>
      <c r="O25" s="115"/>
      <c r="R25" s="6">
        <f>R12</f>
        <v>6</v>
      </c>
      <c r="T25" s="6">
        <f>R25+1</f>
        <v>7</v>
      </c>
      <c r="V25" s="6">
        <f>T25+1</f>
        <v>8</v>
      </c>
      <c r="W25" s="6" t="s">
        <v>2</v>
      </c>
      <c r="X25" s="6">
        <f>V25+1</f>
        <v>9</v>
      </c>
    </row>
    <row r="26" spans="2:19" ht="28.5" customHeight="1">
      <c r="B26" s="28" t="s">
        <v>215</v>
      </c>
      <c r="C26" s="108" t="s">
        <v>35</v>
      </c>
      <c r="D26" s="108"/>
      <c r="E26" s="108" t="s">
        <v>36</v>
      </c>
      <c r="F26" s="108"/>
      <c r="K26" s="28" t="s">
        <v>215</v>
      </c>
      <c r="L26" s="108" t="s">
        <v>224</v>
      </c>
      <c r="M26" s="108"/>
      <c r="N26" s="108" t="s">
        <v>225</v>
      </c>
      <c r="O26" s="108"/>
      <c r="S26" s="6">
        <f>Z2</f>
        <v>14</v>
      </c>
    </row>
    <row r="27" spans="2:15" ht="28.5" customHeight="1">
      <c r="B27" s="44"/>
      <c r="K27" s="44"/>
      <c r="L27" s="45"/>
      <c r="M27" s="45"/>
      <c r="N27" s="45"/>
      <c r="O27" s="45"/>
    </row>
    <row r="28" ht="28.5" customHeight="1"/>
    <row r="29" ht="12.75">
      <c r="B29" s="31" t="s">
        <v>30</v>
      </c>
    </row>
    <row r="31" ht="12.75">
      <c r="B31" s="6" t="s">
        <v>34</v>
      </c>
    </row>
    <row r="32" ht="12.75">
      <c r="B32" s="6" t="s">
        <v>217</v>
      </c>
    </row>
    <row r="33" ht="12.75">
      <c r="B33" s="6" t="s">
        <v>33</v>
      </c>
    </row>
  </sheetData>
  <sheetProtection/>
  <mergeCells count="19">
    <mergeCell ref="L25:M25"/>
    <mergeCell ref="N25:O25"/>
    <mergeCell ref="L26:M26"/>
    <mergeCell ref="N26:O26"/>
    <mergeCell ref="C14:D14"/>
    <mergeCell ref="E14:F14"/>
    <mergeCell ref="A1:Q1"/>
    <mergeCell ref="A2:Q2"/>
    <mergeCell ref="A3:Q3"/>
    <mergeCell ref="C13:D13"/>
    <mergeCell ref="E13:F13"/>
    <mergeCell ref="C12:D12"/>
    <mergeCell ref="E12:F12"/>
    <mergeCell ref="C26:D26"/>
    <mergeCell ref="E26:F26"/>
    <mergeCell ref="E15:F15"/>
    <mergeCell ref="C25:D25"/>
    <mergeCell ref="E25:F25"/>
    <mergeCell ref="C15:D15"/>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dimension ref="A1:T29"/>
  <sheetViews>
    <sheetView workbookViewId="0" topLeftCell="A1">
      <selection activeCell="B9" sqref="B9"/>
    </sheetView>
  </sheetViews>
  <sheetFormatPr defaultColWidth="9.140625" defaultRowHeight="12.75"/>
  <cols>
    <col min="1" max="1" width="4.7109375" style="6" customWidth="1"/>
    <col min="2" max="2" width="20.7109375" style="6" customWidth="1"/>
    <col min="3" max="6" width="5.7109375" style="6" customWidth="1"/>
    <col min="7" max="8" width="8.7109375" style="6" customWidth="1"/>
    <col min="9" max="19" width="3.7109375" style="6" customWidth="1"/>
    <col min="20" max="16384" width="9.140625" style="6" customWidth="1"/>
  </cols>
  <sheetData>
    <row r="1" spans="1:8" ht="28.5" customHeight="1">
      <c r="A1" s="103" t="str">
        <f>Control!$A$1</f>
        <v>2006 New Zealand Championships</v>
      </c>
      <c r="B1" s="103"/>
      <c r="C1" s="103"/>
      <c r="D1" s="103"/>
      <c r="E1" s="103"/>
      <c r="F1" s="103"/>
      <c r="G1" s="103"/>
      <c r="H1" s="103"/>
    </row>
    <row r="2" spans="1:20" ht="28.5" customHeight="1">
      <c r="A2" s="122" t="str">
        <f>I2</f>
        <v>3/4 team grade with final</v>
      </c>
      <c r="B2" s="123"/>
      <c r="C2" s="123"/>
      <c r="D2" s="123"/>
      <c r="E2" s="123"/>
      <c r="F2" s="123"/>
      <c r="G2" s="123"/>
      <c r="H2" s="123"/>
      <c r="I2" s="59" t="s">
        <v>148</v>
      </c>
      <c r="J2" s="59" t="s">
        <v>99</v>
      </c>
      <c r="K2" s="59" t="s">
        <v>153</v>
      </c>
      <c r="L2" s="6">
        <v>1</v>
      </c>
      <c r="M2" s="6">
        <v>3</v>
      </c>
      <c r="N2" s="6">
        <v>2</v>
      </c>
      <c r="O2" s="6">
        <v>4</v>
      </c>
      <c r="P2" s="6">
        <v>6</v>
      </c>
      <c r="Q2" s="6">
        <v>8</v>
      </c>
      <c r="T2" s="6" t="s">
        <v>2</v>
      </c>
    </row>
    <row r="3" spans="1:8" ht="28.5" customHeight="1">
      <c r="A3" s="122" t="str">
        <f>J2</f>
        <v>Shield name</v>
      </c>
      <c r="B3" s="123"/>
      <c r="C3" s="123"/>
      <c r="D3" s="123"/>
      <c r="E3" s="123"/>
      <c r="F3" s="123"/>
      <c r="G3" s="123"/>
      <c r="H3" s="123"/>
    </row>
    <row r="4" spans="1:8" ht="28.5" customHeight="1">
      <c r="A4" s="17"/>
      <c r="B4" s="17"/>
      <c r="C4" s="17"/>
      <c r="D4" s="17"/>
      <c r="E4" s="17"/>
      <c r="F4" s="17"/>
      <c r="G4" s="17"/>
      <c r="H4" s="17"/>
    </row>
    <row r="5" spans="1:12" ht="28.5" customHeight="1">
      <c r="A5" s="17"/>
      <c r="B5" s="17"/>
      <c r="C5" s="18">
        <v>1</v>
      </c>
      <c r="D5" s="18">
        <v>2</v>
      </c>
      <c r="E5" s="18">
        <v>3</v>
      </c>
      <c r="F5" s="18">
        <v>4</v>
      </c>
      <c r="G5" s="18" t="s">
        <v>0</v>
      </c>
      <c r="H5" s="18" t="s">
        <v>1</v>
      </c>
      <c r="K5" s="55" t="s">
        <v>2</v>
      </c>
      <c r="L5" s="55">
        <f>INT(K2/2)</f>
        <v>4</v>
      </c>
    </row>
    <row r="6" spans="1:18" ht="28.5" customHeight="1">
      <c r="A6" s="18">
        <v>1</v>
      </c>
      <c r="B6" s="19" t="e">
        <f>IF(VLOOKUP(J6,RANGE,3,)&gt;VLOOKUP(J6,RANGE,4,),IF(I6=1,VLOOKUP(J6,RANGE,2,),VLOOKUP(J6,RANGE,5,)),IF(VLOOKUP(J6,RANGE,4,)&gt;VLOOKUP(J6,RANGE,3,),IF(I6=1,VLOOKUP(J6,RANGE,5,),VLOOKUP(J6,RANGE,2,)),IF(I6=1,CONCATENATE(VLOOKUP(J6,RANGE,2,)," or ",VLOOKUP(J6,RANGE,5,)),CONCATENATE(VLOOKUP(J6,RANGE,5,)," or ",VLOOKUP(J6,RANGE,2,)))))</f>
        <v>#REF!</v>
      </c>
      <c r="C6" s="20"/>
      <c r="D6" s="3"/>
      <c r="E6" s="3"/>
      <c r="F6" s="3"/>
      <c r="G6" s="7">
        <f>IF(COUNT(K6:N6)&gt;0,SUM(O6:R6),"")</f>
      </c>
      <c r="H6" s="7">
        <f>IF(COUNT(G6:G6)&gt;0,IF(SUM(G$6:G$9)&gt;0,RANK(G6,G$6:G$9,0),""),"")</f>
      </c>
      <c r="I6" s="6">
        <v>1</v>
      </c>
      <c r="J6" s="6">
        <v>1</v>
      </c>
      <c r="K6" s="21">
        <f>IF(C6="","",VALUE(LEFT(C6)))</f>
      </c>
      <c r="L6" s="21">
        <f aca="true" t="shared" si="0" ref="L6:N9">IF(D6="","",VALUE(LEFT(D6)))</f>
      </c>
      <c r="M6" s="21">
        <f t="shared" si="0"/>
      </c>
      <c r="N6" s="21">
        <f t="shared" si="0"/>
      </c>
      <c r="O6" s="21">
        <f aca="true" t="shared" si="1" ref="O6:R9">IF(C6="","",IF(K6&gt;$L$5,1,""))</f>
      </c>
      <c r="P6" s="21">
        <f t="shared" si="1"/>
      </c>
      <c r="Q6" s="21">
        <f t="shared" si="1"/>
      </c>
      <c r="R6" s="21">
        <f t="shared" si="1"/>
      </c>
    </row>
    <row r="7" spans="1:18" ht="28.5" customHeight="1">
      <c r="A7" s="18">
        <v>2</v>
      </c>
      <c r="B7" s="19" t="e">
        <f>IF(VLOOKUP(J7,RANGE,3,)&gt;VLOOKUP(J7,RANGE,4,),IF(I7=1,VLOOKUP(J7,RANGE,2,),VLOOKUP(J7,RANGE,5,)),IF(VLOOKUP(J7,RANGE,4,)&gt;VLOOKUP(J7,RANGE,3,),IF(I7=1,VLOOKUP(J7,RANGE,5,),VLOOKUP(J7,RANGE,2,)),IF(I7=1,CONCATENATE(VLOOKUP(J7,RANGE,2,)," or ",VLOOKUP(J7,RANGE,5,)),CONCATENATE(VLOOKUP(J7,RANGE,5,)," or ",VLOOKUP(J7,RANGE,2,)))))</f>
        <v>#REF!</v>
      </c>
      <c r="C7" s="16">
        <f>IF(ISBLANK(D6),"",CONCATENATE(RIGHT(D6),"-",LEFT(D6)))</f>
      </c>
      <c r="D7" s="20"/>
      <c r="E7" s="3"/>
      <c r="F7" s="3"/>
      <c r="G7" s="7">
        <f>IF(COUNT(K7:N7)&gt;0,SUM(O7:R7),"")</f>
      </c>
      <c r="H7" s="7">
        <f>IF(COUNT(G7:G7)&gt;0,IF(SUM(G$6:G$9)&gt;0,RANK(G7,G$6:G$9,0),""),"")</f>
      </c>
      <c r="I7" s="6">
        <v>2</v>
      </c>
      <c r="J7" s="6">
        <v>1</v>
      </c>
      <c r="K7" s="21">
        <f>IF(C7="","",VALUE(LEFT(C7)))</f>
      </c>
      <c r="L7" s="21">
        <f t="shared" si="0"/>
      </c>
      <c r="M7" s="21">
        <f t="shared" si="0"/>
      </c>
      <c r="N7" s="21">
        <f t="shared" si="0"/>
      </c>
      <c r="O7" s="21">
        <f t="shared" si="1"/>
      </c>
      <c r="P7" s="21">
        <f t="shared" si="1"/>
      </c>
      <c r="Q7" s="21">
        <f t="shared" si="1"/>
      </c>
      <c r="R7" s="21">
        <f t="shared" si="1"/>
      </c>
    </row>
    <row r="8" spans="1:18" ht="28.5" customHeight="1">
      <c r="A8" s="18">
        <v>3</v>
      </c>
      <c r="B8" s="19" t="str">
        <f>CONCATENATE(VLOOKUP(I8,clubs,2,)," ",J8)</f>
        <v>Wellington </v>
      </c>
      <c r="C8" s="16">
        <f>IF(ISBLANK(E6),"",CONCATENATE(RIGHT(E6),"-",LEFT(E6)))</f>
      </c>
      <c r="D8" s="16">
        <f>IF(ISBLANK(E7),"",CONCATENATE(RIGHT(E7),"-",LEFT(E7)))</f>
      </c>
      <c r="E8" s="20"/>
      <c r="F8" s="3"/>
      <c r="G8" s="7">
        <f>IF(COUNT(K8:N8)&gt;0,SUM(O8:R8),"")</f>
      </c>
      <c r="H8" s="7">
        <f>IF(COUNT(G8:G8)&gt;0,IF(SUM(G$6:G$9)&gt;0,RANK(G8,G$6:G$9,0),""),"")</f>
      </c>
      <c r="I8" s="6" t="s">
        <v>196</v>
      </c>
      <c r="K8" s="21">
        <f>IF(C8="","",VALUE(LEFT(C8)))</f>
      </c>
      <c r="L8" s="21">
        <f t="shared" si="0"/>
      </c>
      <c r="M8" s="21">
        <f t="shared" si="0"/>
      </c>
      <c r="N8" s="21">
        <f t="shared" si="0"/>
      </c>
      <c r="O8" s="21">
        <f t="shared" si="1"/>
      </c>
      <c r="P8" s="21">
        <f t="shared" si="1"/>
      </c>
      <c r="Q8" s="21">
        <f t="shared" si="1"/>
      </c>
      <c r="R8" s="21">
        <f t="shared" si="1"/>
      </c>
    </row>
    <row r="9" spans="1:18" ht="28.5" customHeight="1">
      <c r="A9" s="18">
        <v>4</v>
      </c>
      <c r="B9" s="19" t="str">
        <f>CONCATENATE(VLOOKUP(I9,clubs,2,)," ",J9)</f>
        <v>Waikato </v>
      </c>
      <c r="C9" s="22">
        <f>IF(ISBLANK(F6),"",CONCATENATE(RIGHT(F6),"-",LEFT(F6)))</f>
      </c>
      <c r="D9" s="16">
        <f>IF(ISBLANK(F7),"",CONCATENATE(RIGHT(F7),"-",LEFT(F7)))</f>
      </c>
      <c r="E9" s="16">
        <f>IF(ISBLANK(F8),"",CONCATENATE(RIGHT(F8),"-",LEFT(F8)))</f>
      </c>
      <c r="F9" s="20"/>
      <c r="G9" s="7">
        <f>IF(COUNT(K9:N9)&gt;0,SUM(O9:R9),"")</f>
      </c>
      <c r="H9" s="7">
        <f>IF(COUNT(G9:G9)&gt;0,IF(SUM(G$6:G$9)&gt;0,RANK(G9,G$6:G$9,0),""),"")</f>
      </c>
      <c r="I9" s="6" t="s">
        <v>197</v>
      </c>
      <c r="K9" s="21">
        <f>IF(C9="","",VALUE(LEFT(C9)))</f>
      </c>
      <c r="L9" s="21">
        <f t="shared" si="0"/>
      </c>
      <c r="M9" s="21">
        <f t="shared" si="0"/>
      </c>
      <c r="N9" s="21">
        <f t="shared" si="0"/>
      </c>
      <c r="O9" s="21">
        <f t="shared" si="1"/>
      </c>
      <c r="P9" s="21">
        <f t="shared" si="1"/>
      </c>
      <c r="Q9" s="21">
        <f t="shared" si="1"/>
      </c>
      <c r="R9" s="21">
        <f t="shared" si="1"/>
      </c>
    </row>
    <row r="10" spans="1:8" ht="28.5" customHeight="1">
      <c r="A10" s="23"/>
      <c r="B10" s="24"/>
      <c r="C10" s="25"/>
      <c r="D10" s="25"/>
      <c r="E10" s="25"/>
      <c r="F10" s="25"/>
      <c r="G10" s="25"/>
      <c r="H10" s="25"/>
    </row>
    <row r="11" spans="1:8" ht="28.5" customHeight="1">
      <c r="A11" s="17"/>
      <c r="B11" s="17"/>
      <c r="C11" s="17"/>
      <c r="D11" s="17"/>
      <c r="E11" s="17"/>
      <c r="F11" s="17"/>
      <c r="G11" s="17"/>
      <c r="H11" s="17"/>
    </row>
    <row r="12" spans="1:11" ht="28.5" customHeight="1">
      <c r="A12" s="17"/>
      <c r="B12" s="26" t="s">
        <v>9</v>
      </c>
      <c r="C12" s="116" t="str">
        <f>CONCATENATE("Table ",I12)</f>
        <v>Table 1</v>
      </c>
      <c r="D12" s="116"/>
      <c r="E12" s="114" t="str">
        <f>CONCATENATE("Table ",K12)</f>
        <v>Table 2</v>
      </c>
      <c r="F12" s="115"/>
      <c r="G12" s="27"/>
      <c r="H12" s="17"/>
      <c r="I12" s="6">
        <f>L2</f>
        <v>1</v>
      </c>
      <c r="K12" s="6">
        <f>I12+1</f>
        <v>2</v>
      </c>
    </row>
    <row r="13" spans="1:10" ht="28.5" customHeight="1">
      <c r="A13" s="17"/>
      <c r="B13" s="28" t="str">
        <f>CONCATENATE(VLOOKUP(J13,times,2,),K13)</f>
        <v>TH-1130</v>
      </c>
      <c r="C13" s="108" t="s">
        <v>23</v>
      </c>
      <c r="D13" s="108"/>
      <c r="E13" s="108" t="s">
        <v>24</v>
      </c>
      <c r="F13" s="108"/>
      <c r="G13" s="17"/>
      <c r="H13" s="17"/>
      <c r="J13" s="6">
        <f>N2</f>
        <v>2</v>
      </c>
    </row>
    <row r="14" spans="1:10" ht="28.5" customHeight="1">
      <c r="A14" s="17"/>
      <c r="B14" s="28" t="str">
        <f>CONCATENATE(VLOOKUP(J14,times,2,),K14)</f>
        <v>TH-1630</v>
      </c>
      <c r="C14" s="108" t="s">
        <v>14</v>
      </c>
      <c r="D14" s="108"/>
      <c r="E14" s="108" t="s">
        <v>18</v>
      </c>
      <c r="F14" s="108"/>
      <c r="G14" s="17"/>
      <c r="H14" s="17"/>
      <c r="J14" s="6">
        <f>O2</f>
        <v>4</v>
      </c>
    </row>
    <row r="15" spans="1:10" ht="28.5" customHeight="1">
      <c r="A15" s="17"/>
      <c r="B15" s="28" t="str">
        <f>CONCATENATE(VLOOKUP(J15,times,2,),K15)</f>
        <v>TH-1930</v>
      </c>
      <c r="C15" s="108" t="s">
        <v>12</v>
      </c>
      <c r="D15" s="108"/>
      <c r="E15" s="108" t="s">
        <v>10</v>
      </c>
      <c r="F15" s="108"/>
      <c r="G15" s="17"/>
      <c r="H15" s="17"/>
      <c r="J15" s="6">
        <f>P2</f>
        <v>6</v>
      </c>
    </row>
    <row r="16" spans="3:6" ht="28.5" customHeight="1">
      <c r="C16" s="121"/>
      <c r="D16" s="121"/>
      <c r="E16" s="121"/>
      <c r="F16" s="121"/>
    </row>
    <row r="17" ht="28.5" customHeight="1">
      <c r="B17" s="26" t="s">
        <v>3</v>
      </c>
    </row>
    <row r="18" spans="2:11" ht="28.5" customHeight="1">
      <c r="B18" s="26" t="str">
        <f>CONCATENATE(VLOOKUP(J18,times,2,),"-",K18)</f>
        <v>FR-1130-3</v>
      </c>
      <c r="J18" s="6">
        <f>Q2</f>
        <v>8</v>
      </c>
      <c r="K18" s="6">
        <f>M2</f>
        <v>3</v>
      </c>
    </row>
    <row r="19" spans="2:5" ht="28.5" customHeight="1">
      <c r="B19" s="30">
        <f>IF(SUM($G$6:$G$9)=6,INDEX($B$6:$B$9,MATCH(1,$H$6:$H$9,0)),"")</f>
      </c>
      <c r="C19" s="2"/>
      <c r="E19" s="58">
        <f>IF(C19&gt;C20,"WINNER","")</f>
      </c>
    </row>
    <row r="20" spans="2:5" ht="28.5" customHeight="1">
      <c r="B20" s="30">
        <f>IF(SUM($G$6:$G$9)=6,INDEX($B$6:$B$9,MATCH(2,$H$6:$H$9,0)),"")</f>
      </c>
      <c r="C20" s="2"/>
      <c r="E20" s="58">
        <f>IF(C20&gt;C19,"WINNER","")</f>
      </c>
    </row>
    <row r="23" ht="12.75">
      <c r="B23" s="31" t="s">
        <v>30</v>
      </c>
    </row>
    <row r="24" ht="12.75">
      <c r="B24" s="31"/>
    </row>
    <row r="25" ht="12.75">
      <c r="B25" s="32" t="s">
        <v>143</v>
      </c>
    </row>
    <row r="26" ht="12.75">
      <c r="B26" s="32" t="s">
        <v>144</v>
      </c>
    </row>
    <row r="27" ht="12.75">
      <c r="B27" s="6" t="s">
        <v>145</v>
      </c>
    </row>
    <row r="28" ht="12.75">
      <c r="B28" s="6" t="s">
        <v>146</v>
      </c>
    </row>
    <row r="29" ht="12.75">
      <c r="B29" s="6" t="s">
        <v>147</v>
      </c>
    </row>
  </sheetData>
  <mergeCells count="13">
    <mergeCell ref="E13:F13"/>
    <mergeCell ref="E14:F14"/>
    <mergeCell ref="C13:D13"/>
    <mergeCell ref="C14:D14"/>
    <mergeCell ref="A1:H1"/>
    <mergeCell ref="C12:D12"/>
    <mergeCell ref="E12:F12"/>
    <mergeCell ref="A3:H3"/>
    <mergeCell ref="A2:H2"/>
    <mergeCell ref="C16:D16"/>
    <mergeCell ref="E16:F16"/>
    <mergeCell ref="E15:F15"/>
    <mergeCell ref="C15:D15"/>
  </mergeCells>
  <printOptions horizontalCentered="1"/>
  <pageMargins left="0.7874015748031497" right="0.7874015748031497" top="1.1811023622047245" bottom="0.7874015748031497" header="0.3937007874015748" footer="0.393700787401574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X32"/>
  <sheetViews>
    <sheetView workbookViewId="0" topLeftCell="A1">
      <selection activeCell="L11" sqref="L11"/>
    </sheetView>
  </sheetViews>
  <sheetFormatPr defaultColWidth="9.140625" defaultRowHeight="12.75"/>
  <cols>
    <col min="1" max="1" width="4.7109375" style="6" customWidth="1"/>
    <col min="2" max="2" width="20.7109375" style="6" customWidth="1"/>
    <col min="3" max="8" width="5.7109375" style="6" customWidth="1"/>
    <col min="9" max="10" width="8.7109375" style="6" customWidth="1"/>
    <col min="11" max="24" width="3.7109375" style="6" customWidth="1"/>
    <col min="25" max="16384" width="9.140625" style="6" customWidth="1"/>
  </cols>
  <sheetData>
    <row r="1" spans="1:10" ht="28.5" customHeight="1">
      <c r="A1" s="112" t="str">
        <f>Control!$A$1</f>
        <v>2006 New Zealand Championships</v>
      </c>
      <c r="B1" s="112"/>
      <c r="C1" s="112"/>
      <c r="D1" s="112"/>
      <c r="E1" s="112"/>
      <c r="F1" s="112"/>
      <c r="G1" s="112"/>
      <c r="H1" s="112"/>
      <c r="I1" s="112"/>
      <c r="J1" s="112"/>
    </row>
    <row r="2" spans="1:21" ht="28.5" customHeight="1">
      <c r="A2" s="33" t="str">
        <f>K2</f>
        <v>5/6 team grade with final</v>
      </c>
      <c r="B2" s="34"/>
      <c r="C2" s="34"/>
      <c r="D2" s="34"/>
      <c r="E2" s="34"/>
      <c r="F2" s="34"/>
      <c r="G2" s="34"/>
      <c r="H2" s="34"/>
      <c r="I2" s="34"/>
      <c r="J2" s="34"/>
      <c r="K2" s="57" t="s">
        <v>100</v>
      </c>
      <c r="L2" s="57" t="s">
        <v>99</v>
      </c>
      <c r="M2" s="58">
        <v>9</v>
      </c>
      <c r="N2" s="6">
        <v>1</v>
      </c>
      <c r="O2" s="6">
        <v>3</v>
      </c>
      <c r="P2" s="6">
        <v>2</v>
      </c>
      <c r="Q2" s="6">
        <v>4</v>
      </c>
      <c r="R2" s="6">
        <v>6</v>
      </c>
      <c r="S2" s="6">
        <v>8</v>
      </c>
      <c r="T2" s="6">
        <v>10</v>
      </c>
      <c r="U2" s="6">
        <v>12</v>
      </c>
    </row>
    <row r="3" spans="1:10" ht="28.5" customHeight="1">
      <c r="A3" s="33" t="str">
        <f>L2</f>
        <v>Shield name</v>
      </c>
      <c r="B3" s="34"/>
      <c r="C3" s="34"/>
      <c r="D3" s="34"/>
      <c r="E3" s="34"/>
      <c r="F3" s="34"/>
      <c r="G3" s="34"/>
      <c r="H3" s="34"/>
      <c r="I3" s="34"/>
      <c r="J3" s="34"/>
    </row>
    <row r="4" spans="1:10" ht="28.5" customHeight="1">
      <c r="A4" s="17"/>
      <c r="B4" s="17"/>
      <c r="C4" s="17"/>
      <c r="D4" s="17"/>
      <c r="E4" s="17"/>
      <c r="F4" s="17"/>
      <c r="G4" s="17"/>
      <c r="H4" s="17"/>
      <c r="I4" s="17"/>
      <c r="J4" s="17"/>
    </row>
    <row r="5" spans="1:14" ht="28.5" customHeight="1">
      <c r="A5" s="17"/>
      <c r="B5" s="17"/>
      <c r="C5" s="18">
        <v>1</v>
      </c>
      <c r="D5" s="18">
        <v>2</v>
      </c>
      <c r="E5" s="18">
        <v>3</v>
      </c>
      <c r="F5" s="18">
        <v>4</v>
      </c>
      <c r="G5" s="18">
        <v>5</v>
      </c>
      <c r="H5" s="18">
        <v>6</v>
      </c>
      <c r="I5" s="18" t="s">
        <v>0</v>
      </c>
      <c r="J5" s="18" t="s">
        <v>1</v>
      </c>
      <c r="M5" s="21" t="s">
        <v>2</v>
      </c>
      <c r="N5" s="55">
        <f>INT(M2/2)</f>
        <v>4</v>
      </c>
    </row>
    <row r="6" spans="1:24" ht="28.5" customHeight="1">
      <c r="A6" s="18">
        <v>1</v>
      </c>
      <c r="B6" s="35" t="e">
        <f>IF(VLOOKUP(L6,RANGE,3,)&gt;VLOOKUP(L6,RANGE,4,),IF(K6=1,VLOOKUP(L6,RANGE,2,),VLOOKUP(L6,RANGE,5,)),IF(VLOOKUP(L6,RANGE,4,)&gt;VLOOKUP(L6,RANGE,3,),IF(K6=1,VLOOKUP(L6,RANGE,5,),VLOOKUP(L6,RANGE,2,)),IF(K6=1,CONCATENATE(VLOOKUP(L6,RANGE,2,)," or ",VLOOKUP(L6,RANGE,5,)),CONCATENATE(VLOOKUP(L6,RANGE,5,)," or ",VLOOKUP(L6,RANGE,2,)))))</f>
        <v>#REF!</v>
      </c>
      <c r="C6" s="20"/>
      <c r="D6" s="3"/>
      <c r="E6" s="3"/>
      <c r="F6" s="3"/>
      <c r="G6" s="3"/>
      <c r="H6" s="3"/>
      <c r="I6" s="7">
        <f aca="true" t="shared" si="0" ref="I6:I11">IF(COUNT(M6:R6)&gt;0,SUM(S6:X6),"")</f>
      </c>
      <c r="J6" s="7">
        <f aca="true" t="shared" si="1" ref="J6:J11">IF(COUNT(I6:I6)&gt;0,IF(SUM(I$6:I$11)&gt;0,RANK(I6,I$6:I$11,0),""),"")</f>
      </c>
      <c r="K6" s="6">
        <v>1</v>
      </c>
      <c r="L6" s="6">
        <v>1</v>
      </c>
      <c r="M6" s="21">
        <f aca="true" t="shared" si="2" ref="M6:R11">IF(C6="","",VALUE(LEFT(C6)))</f>
      </c>
      <c r="N6" s="21">
        <f t="shared" si="2"/>
      </c>
      <c r="O6" s="21">
        <f t="shared" si="2"/>
      </c>
      <c r="P6" s="21">
        <f t="shared" si="2"/>
      </c>
      <c r="Q6" s="21">
        <f t="shared" si="2"/>
      </c>
      <c r="R6" s="21">
        <f t="shared" si="2"/>
      </c>
      <c r="S6" s="55">
        <f aca="true" t="shared" si="3" ref="S6:X11">IF(C6="","",IF(M6&gt;$N$5,1,""))</f>
      </c>
      <c r="T6" s="55">
        <f t="shared" si="3"/>
      </c>
      <c r="U6" s="55">
        <f t="shared" si="3"/>
      </c>
      <c r="V6" s="55">
        <f t="shared" si="3"/>
      </c>
      <c r="W6" s="55">
        <f t="shared" si="3"/>
      </c>
      <c r="X6" s="55">
        <f t="shared" si="3"/>
      </c>
    </row>
    <row r="7" spans="1:24" ht="28.5" customHeight="1">
      <c r="A7" s="18">
        <v>2</v>
      </c>
      <c r="B7" s="35" t="e">
        <f>IF(VLOOKUP(L7,RANGE,3,)&gt;VLOOKUP(L7,RANGE,4,),IF(K7=1,VLOOKUP(L7,RANGE,2,),VLOOKUP(L7,RANGE,5,)),IF(VLOOKUP(L7,RANGE,4,)&gt;VLOOKUP(L7,RANGE,3,),IF(K7=1,VLOOKUP(L7,RANGE,5,),VLOOKUP(L7,RANGE,2,)),IF(K7=1,CONCATENATE(VLOOKUP(L7,RANGE,2,)," or ",VLOOKUP(L7,RANGE,5,)),CONCATENATE(VLOOKUP(L7,RANGE,5,)," or ",VLOOKUP(L7,RANGE,2,)))))</f>
        <v>#REF!</v>
      </c>
      <c r="C7" s="22">
        <f>IF(ISBLANK(D6),"",CONCATENATE(RIGHT(D6),"-",LEFT(D6)))</f>
      </c>
      <c r="D7" s="20"/>
      <c r="E7" s="3"/>
      <c r="F7" s="3"/>
      <c r="G7" s="3"/>
      <c r="H7" s="3"/>
      <c r="I7" s="7">
        <f t="shared" si="0"/>
      </c>
      <c r="J7" s="7">
        <f t="shared" si="1"/>
      </c>
      <c r="K7" s="6">
        <v>2</v>
      </c>
      <c r="L7" s="6">
        <v>1</v>
      </c>
      <c r="M7" s="21">
        <f t="shared" si="2"/>
      </c>
      <c r="N7" s="21">
        <f t="shared" si="2"/>
      </c>
      <c r="O7" s="21">
        <f t="shared" si="2"/>
      </c>
      <c r="P7" s="21">
        <f t="shared" si="2"/>
      </c>
      <c r="Q7" s="21">
        <f t="shared" si="2"/>
      </c>
      <c r="R7" s="21">
        <f t="shared" si="2"/>
      </c>
      <c r="S7" s="55">
        <f t="shared" si="3"/>
      </c>
      <c r="T7" s="55">
        <f t="shared" si="3"/>
      </c>
      <c r="U7" s="55">
        <f t="shared" si="3"/>
      </c>
      <c r="V7" s="55">
        <f t="shared" si="3"/>
      </c>
      <c r="W7" s="55">
        <f t="shared" si="3"/>
      </c>
      <c r="X7" s="55">
        <f t="shared" si="3"/>
      </c>
    </row>
    <row r="8" spans="1:24" ht="28.5" customHeight="1">
      <c r="A8" s="18">
        <v>3</v>
      </c>
      <c r="B8" s="19" t="str">
        <f>CONCATENATE(VLOOKUP(K8,clubs,2,)," ",L8)</f>
        <v>Counties Manukau </v>
      </c>
      <c r="C8" s="16">
        <f>IF(ISBLANK(E6),"",CONCATENATE(RIGHT(E6),"-",LEFT(E6)))</f>
      </c>
      <c r="D8" s="22">
        <f>IF(ISBLANK(E7),"",CONCATENATE(RIGHT(E7),"-",LEFT(E7)))</f>
      </c>
      <c r="E8" s="20"/>
      <c r="F8" s="3"/>
      <c r="G8" s="3"/>
      <c r="H8" s="3"/>
      <c r="I8" s="7">
        <f t="shared" si="0"/>
      </c>
      <c r="J8" s="7">
        <f t="shared" si="1"/>
      </c>
      <c r="K8" s="6" t="s">
        <v>198</v>
      </c>
      <c r="M8" s="21">
        <f t="shared" si="2"/>
      </c>
      <c r="N8" s="21">
        <f t="shared" si="2"/>
      </c>
      <c r="O8" s="21">
        <f t="shared" si="2"/>
      </c>
      <c r="P8" s="21">
        <f t="shared" si="2"/>
      </c>
      <c r="Q8" s="21">
        <f t="shared" si="2"/>
      </c>
      <c r="R8" s="21">
        <f t="shared" si="2"/>
      </c>
      <c r="S8" s="55">
        <f t="shared" si="3"/>
      </c>
      <c r="T8" s="55">
        <f t="shared" si="3"/>
      </c>
      <c r="U8" s="55">
        <f t="shared" si="3"/>
      </c>
      <c r="V8" s="55">
        <f t="shared" si="3"/>
      </c>
      <c r="W8" s="55">
        <f t="shared" si="3"/>
      </c>
      <c r="X8" s="55">
        <f t="shared" si="3"/>
      </c>
    </row>
    <row r="9" spans="1:24" ht="28.5" customHeight="1">
      <c r="A9" s="18">
        <v>4</v>
      </c>
      <c r="B9" s="35" t="str">
        <f>CONCATENATE(VLOOKUP(K9,clubs,2,)," ",L9)</f>
        <v>Canterbury </v>
      </c>
      <c r="C9" s="16">
        <f>IF(ISBLANK(F6),"",CONCATENATE(RIGHT(F6),"-",LEFT(F6)))</f>
      </c>
      <c r="D9" s="16">
        <f>IF(ISBLANK(F7),"",CONCATENATE(RIGHT(F7),"-",LEFT(F7)))</f>
      </c>
      <c r="E9" s="22">
        <f>IF(ISBLANK(F8),"",CONCATENATE(RIGHT(F8),"-",LEFT(F8)))</f>
      </c>
      <c r="F9" s="20"/>
      <c r="G9" s="3"/>
      <c r="H9" s="3"/>
      <c r="I9" s="7">
        <f t="shared" si="0"/>
      </c>
      <c r="J9" s="7">
        <f t="shared" si="1"/>
      </c>
      <c r="K9" s="6" t="s">
        <v>195</v>
      </c>
      <c r="M9" s="21">
        <f t="shared" si="2"/>
      </c>
      <c r="N9" s="21">
        <f t="shared" si="2"/>
      </c>
      <c r="O9" s="21">
        <f t="shared" si="2"/>
      </c>
      <c r="P9" s="21">
        <f t="shared" si="2"/>
      </c>
      <c r="Q9" s="21">
        <f t="shared" si="2"/>
      </c>
      <c r="R9" s="21">
        <f t="shared" si="2"/>
      </c>
      <c r="S9" s="55">
        <f t="shared" si="3"/>
      </c>
      <c r="T9" s="55">
        <f t="shared" si="3"/>
      </c>
      <c r="U9" s="55">
        <f t="shared" si="3"/>
      </c>
      <c r="V9" s="55">
        <f t="shared" si="3"/>
      </c>
      <c r="W9" s="55">
        <f t="shared" si="3"/>
      </c>
      <c r="X9" s="55">
        <f t="shared" si="3"/>
      </c>
    </row>
    <row r="10" spans="1:24" ht="28.5" customHeight="1">
      <c r="A10" s="18">
        <v>5</v>
      </c>
      <c r="B10" s="35" t="e">
        <f>IF(VLOOKUP(L10,RANGE,3,)&gt;VLOOKUP(L10,RANGE,4,),IF(K10=1,VLOOKUP(L10,RANGE,2,),VLOOKUP(L10,RANGE,5,)),IF(VLOOKUP(L10,RANGE,4,)&gt;VLOOKUP(L10,RANGE,3,),IF(K10=1,VLOOKUP(L10,RANGE,5,),VLOOKUP(L10,RANGE,2,)),IF(K10=1,CONCATENATE(VLOOKUP(L10,RANGE,2,)," or ",VLOOKUP(L10,RANGE,5,)),CONCATENATE(VLOOKUP(L10,RANGE,5,)," or ",VLOOKUP(L10,RANGE,2,)))))</f>
        <v>#REF!</v>
      </c>
      <c r="C10" s="16">
        <f>IF(ISBLANK(G6),"",CONCATENATE(RIGHT(G6),"-",LEFT(G6)))</f>
      </c>
      <c r="D10" s="16">
        <f>IF(ISBLANK(G7),"",CONCATENATE(RIGHT(G7),"-",LEFT(G7)))</f>
      </c>
      <c r="E10" s="16">
        <f>IF(ISBLANK(G8),"",CONCATENATE(RIGHT(G8),"-",LEFT(G8)))</f>
      </c>
      <c r="F10" s="22">
        <f>IF(ISBLANK(G9),"",CONCATENATE(RIGHT(G9),"-",LEFT(G9)))</f>
      </c>
      <c r="G10" s="20"/>
      <c r="H10" s="3"/>
      <c r="I10" s="7">
        <f t="shared" si="0"/>
      </c>
      <c r="J10" s="7">
        <f t="shared" si="1"/>
      </c>
      <c r="K10" s="6">
        <v>1</v>
      </c>
      <c r="L10" s="6">
        <v>2</v>
      </c>
      <c r="M10" s="21">
        <f t="shared" si="2"/>
      </c>
      <c r="N10" s="21">
        <f t="shared" si="2"/>
      </c>
      <c r="O10" s="21">
        <f t="shared" si="2"/>
      </c>
      <c r="P10" s="21">
        <f t="shared" si="2"/>
      </c>
      <c r="Q10" s="21">
        <f t="shared" si="2"/>
      </c>
      <c r="R10" s="21">
        <f t="shared" si="2"/>
      </c>
      <c r="S10" s="55">
        <f t="shared" si="3"/>
      </c>
      <c r="T10" s="55">
        <f t="shared" si="3"/>
      </c>
      <c r="U10" s="55">
        <f t="shared" si="3"/>
      </c>
      <c r="V10" s="55">
        <f t="shared" si="3"/>
      </c>
      <c r="W10" s="55">
        <f t="shared" si="3"/>
      </c>
      <c r="X10" s="55">
        <f t="shared" si="3"/>
      </c>
    </row>
    <row r="11" spans="1:24" ht="28.5" customHeight="1">
      <c r="A11" s="18">
        <v>6</v>
      </c>
      <c r="B11" s="35" t="e">
        <f>IF(VLOOKUP(L11,RANGE,3,)&gt;VLOOKUP(L11,RANGE,4,),IF(K11=1,VLOOKUP(L11,RANGE,2,),VLOOKUP(L11,RANGE,5,)),IF(VLOOKUP(L11,RANGE,4,)&gt;VLOOKUP(L11,RANGE,3,),IF(K11=1,VLOOKUP(L11,RANGE,5,),VLOOKUP(L11,RANGE,2,)),IF(K11=1,CONCATENATE(VLOOKUP(L11,RANGE,2,)," or ",VLOOKUP(L11,RANGE,5,)),CONCATENATE(VLOOKUP(L11,RANGE,5,)," or ",VLOOKUP(L11,RANGE,2,)))))</f>
        <v>#REF!</v>
      </c>
      <c r="C11" s="16">
        <f>IF(ISBLANK(H6),"",CONCATENATE(RIGHT(H6),"-",LEFT(H6)))</f>
      </c>
      <c r="D11" s="16">
        <f>IF(ISBLANK(H7),"",CONCATENATE(RIGHT(H7),"-",LEFT(H7)))</f>
      </c>
      <c r="E11" s="16">
        <f>IF(ISBLANK(H8),"",CONCATENATE(RIGHT(H8),"-",LEFT(H8)))</f>
      </c>
      <c r="F11" s="16">
        <f>IF(ISBLANK(H9),"",CONCATENATE(RIGHT(H9),"-",LEFT(H9)))</f>
      </c>
      <c r="G11" s="22">
        <f>IF(ISBLANK(H10),"",CONCATENATE(RIGHT(H10),"-",LEFT(H10)))</f>
      </c>
      <c r="H11" s="20"/>
      <c r="I11" s="7">
        <f t="shared" si="0"/>
      </c>
      <c r="J11" s="7">
        <f t="shared" si="1"/>
      </c>
      <c r="K11" s="6">
        <v>2</v>
      </c>
      <c r="L11" s="6">
        <v>2</v>
      </c>
      <c r="M11" s="21">
        <f t="shared" si="2"/>
      </c>
      <c r="N11" s="21">
        <f t="shared" si="2"/>
      </c>
      <c r="O11" s="21">
        <f t="shared" si="2"/>
      </c>
      <c r="P11" s="21">
        <f t="shared" si="2"/>
      </c>
      <c r="Q11" s="21">
        <f t="shared" si="2"/>
      </c>
      <c r="R11" s="21">
        <f t="shared" si="2"/>
      </c>
      <c r="S11" s="55">
        <f t="shared" si="3"/>
      </c>
      <c r="T11" s="55">
        <f t="shared" si="3"/>
      </c>
      <c r="U11" s="55">
        <f t="shared" si="3"/>
      </c>
      <c r="V11" s="55">
        <f t="shared" si="3"/>
      </c>
      <c r="W11" s="55">
        <f t="shared" si="3"/>
      </c>
      <c r="X11" s="55">
        <f t="shared" si="3"/>
      </c>
    </row>
    <row r="12" spans="1:10" ht="28.5" customHeight="1">
      <c r="A12" s="23"/>
      <c r="B12" s="24"/>
      <c r="C12" s="25"/>
      <c r="D12" s="25"/>
      <c r="E12" s="25"/>
      <c r="F12" s="25"/>
      <c r="G12" s="25"/>
      <c r="I12" s="25"/>
      <c r="J12" s="25"/>
    </row>
    <row r="13" spans="1:15" ht="28.5" customHeight="1">
      <c r="A13" s="17"/>
      <c r="B13" s="26" t="s">
        <v>9</v>
      </c>
      <c r="C13" s="116" t="str">
        <f>CONCATENATE("Table ",K13)</f>
        <v>Table 1</v>
      </c>
      <c r="D13" s="116"/>
      <c r="E13" s="114" t="str">
        <f>CONCATENATE("Table ",M13)</f>
        <v>Table 2</v>
      </c>
      <c r="F13" s="115"/>
      <c r="G13" s="116" t="str">
        <f>CONCATENATE("Table ",O13)</f>
        <v>Table 3</v>
      </c>
      <c r="H13" s="115"/>
      <c r="I13" s="27"/>
      <c r="J13" s="17"/>
      <c r="K13" s="6">
        <f>N2</f>
        <v>1</v>
      </c>
      <c r="M13" s="6">
        <f>K13+1</f>
        <v>2</v>
      </c>
      <c r="O13" s="6">
        <f>M13+1</f>
        <v>3</v>
      </c>
    </row>
    <row r="14" spans="1:12" ht="28.5" customHeight="1">
      <c r="A14" s="17"/>
      <c r="B14" s="28" t="str">
        <f>CONCATENATE(VLOOKUP(L14,times,2,),M14)</f>
        <v>TH-1130</v>
      </c>
      <c r="C14" s="108" t="s">
        <v>22</v>
      </c>
      <c r="D14" s="108"/>
      <c r="E14" s="108" t="s">
        <v>28</v>
      </c>
      <c r="F14" s="108"/>
      <c r="G14" s="108" t="s">
        <v>25</v>
      </c>
      <c r="H14" s="108"/>
      <c r="I14" s="17"/>
      <c r="J14" s="17"/>
      <c r="L14" s="6">
        <f>P2</f>
        <v>2</v>
      </c>
    </row>
    <row r="15" spans="1:12" ht="28.5" customHeight="1">
      <c r="A15" s="17"/>
      <c r="B15" s="28" t="str">
        <f>CONCATENATE(VLOOKUP(L15,times,2,),M15)</f>
        <v>TH-1630</v>
      </c>
      <c r="C15" s="108" t="s">
        <v>13</v>
      </c>
      <c r="D15" s="108"/>
      <c r="E15" s="108" t="s">
        <v>17</v>
      </c>
      <c r="F15" s="108"/>
      <c r="G15" s="108" t="s">
        <v>20</v>
      </c>
      <c r="H15" s="108"/>
      <c r="I15" s="17"/>
      <c r="J15" s="17"/>
      <c r="L15" s="6">
        <f>Q2</f>
        <v>4</v>
      </c>
    </row>
    <row r="16" spans="1:12" ht="28.5" customHeight="1">
      <c r="A16" s="17"/>
      <c r="B16" s="28" t="str">
        <f>CONCATENATE(VLOOKUP(L16,times,2,),M16)</f>
        <v>TH-1930</v>
      </c>
      <c r="C16" s="108" t="s">
        <v>14</v>
      </c>
      <c r="D16" s="108"/>
      <c r="E16" s="108" t="s">
        <v>18</v>
      </c>
      <c r="F16" s="108"/>
      <c r="G16" s="108" t="s">
        <v>21</v>
      </c>
      <c r="H16" s="108"/>
      <c r="I16" s="17"/>
      <c r="J16" s="17"/>
      <c r="L16" s="6">
        <f>R2</f>
        <v>6</v>
      </c>
    </row>
    <row r="17" spans="1:12" ht="28.5" customHeight="1">
      <c r="A17" s="17"/>
      <c r="B17" s="28" t="str">
        <f>CONCATENATE(VLOOKUP(L17,times,2,),M17)</f>
        <v>FR-1130</v>
      </c>
      <c r="C17" s="108" t="s">
        <v>12</v>
      </c>
      <c r="D17" s="108"/>
      <c r="E17" s="108" t="s">
        <v>16</v>
      </c>
      <c r="F17" s="108"/>
      <c r="G17" s="108" t="s">
        <v>29</v>
      </c>
      <c r="H17" s="108"/>
      <c r="I17" s="17"/>
      <c r="J17" s="17"/>
      <c r="L17" s="6">
        <f>S2</f>
        <v>8</v>
      </c>
    </row>
    <row r="18" spans="2:12" ht="28.5" customHeight="1">
      <c r="B18" s="28" t="str">
        <f>CONCATENATE(VLOOKUP(L18,times,2,),M18)</f>
        <v>FR-1630</v>
      </c>
      <c r="C18" s="108" t="s">
        <v>11</v>
      </c>
      <c r="D18" s="108"/>
      <c r="E18" s="108" t="s">
        <v>15</v>
      </c>
      <c r="F18" s="108"/>
      <c r="G18" s="108" t="s">
        <v>19</v>
      </c>
      <c r="H18" s="108"/>
      <c r="L18" s="6">
        <f>T2</f>
        <v>10</v>
      </c>
    </row>
    <row r="19" ht="28.5" customHeight="1"/>
    <row r="20" ht="28.5" customHeight="1">
      <c r="B20" s="26" t="s">
        <v>3</v>
      </c>
    </row>
    <row r="21" spans="2:13" ht="28.5" customHeight="1">
      <c r="B21" s="28" t="str">
        <f>CONCATENATE(VLOOKUP(L21,times,2,),"-",M21)</f>
        <v>FR-1930-3</v>
      </c>
      <c r="L21" s="6">
        <f>U2</f>
        <v>12</v>
      </c>
      <c r="M21" s="6">
        <f>O2</f>
        <v>3</v>
      </c>
    </row>
    <row r="22" spans="2:5" ht="28.5" customHeight="1">
      <c r="B22" s="30">
        <f>IF(SUM($I$6:$I$11)=15,INDEX($B$6:$B$11,MATCH(1,$J$6:$J$11,0)),"")</f>
      </c>
      <c r="C22" s="2"/>
      <c r="E22" s="36">
        <f>IF(C22&gt;C23,"WINNER","")</f>
      </c>
    </row>
    <row r="23" spans="2:5" ht="28.5" customHeight="1">
      <c r="B23" s="30">
        <f>IF(SUM($I$6:$I$11)=15,INDEX($B$6:$B$11,MATCH(2,$J$6:$J$11,0)),"")</f>
      </c>
      <c r="C23" s="2"/>
      <c r="E23" s="36">
        <f>IF(C23&gt;C22,"WINNER","")</f>
      </c>
    </row>
    <row r="26" ht="12.75">
      <c r="B26" s="31" t="s">
        <v>30</v>
      </c>
    </row>
    <row r="27" ht="12.75">
      <c r="B27" s="31"/>
    </row>
    <row r="28" ht="12.75">
      <c r="B28" s="32" t="s">
        <v>70</v>
      </c>
    </row>
    <row r="29" ht="12.75">
      <c r="B29" s="32" t="s">
        <v>69</v>
      </c>
    </row>
    <row r="30" ht="12.75">
      <c r="B30" s="6" t="s">
        <v>32</v>
      </c>
    </row>
    <row r="31" ht="12.75">
      <c r="B31" s="6" t="s">
        <v>67</v>
      </c>
    </row>
    <row r="32" ht="12.75">
      <c r="B32" s="6" t="s">
        <v>68</v>
      </c>
    </row>
  </sheetData>
  <mergeCells count="19">
    <mergeCell ref="A1:J1"/>
    <mergeCell ref="C13:D13"/>
    <mergeCell ref="E13:F13"/>
    <mergeCell ref="G13:H13"/>
    <mergeCell ref="C18:D18"/>
    <mergeCell ref="E14:F14"/>
    <mergeCell ref="E15:F15"/>
    <mergeCell ref="E18:F18"/>
    <mergeCell ref="E17:F17"/>
    <mergeCell ref="E16:F16"/>
    <mergeCell ref="C14:D14"/>
    <mergeCell ref="C15:D15"/>
    <mergeCell ref="C16:D16"/>
    <mergeCell ref="C17:D17"/>
    <mergeCell ref="G18:H18"/>
    <mergeCell ref="G14:H14"/>
    <mergeCell ref="G15:H15"/>
    <mergeCell ref="G16:H16"/>
    <mergeCell ref="G17:H17"/>
  </mergeCells>
  <printOptions horizontalCentered="1" verticalCentered="1"/>
  <pageMargins left="0.7874015748031497" right="0.7874015748031497" top="0.7874015748031497" bottom="0.7874015748031497" header="0.3937007874015748" footer="0.3937007874015748"/>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AN39"/>
  <sheetViews>
    <sheetView workbookViewId="0" topLeftCell="A1">
      <selection activeCell="H10" sqref="H10"/>
    </sheetView>
  </sheetViews>
  <sheetFormatPr defaultColWidth="9.140625" defaultRowHeight="12.75"/>
  <cols>
    <col min="1" max="1" width="4.7109375" style="6" customWidth="1"/>
    <col min="2" max="2" width="18.7109375" style="6" customWidth="1"/>
    <col min="3" max="6" width="4.7109375" style="6" customWidth="1"/>
    <col min="7" max="8" width="8.7109375" style="6" customWidth="1"/>
    <col min="9" max="9" width="9.140625" style="6" customWidth="1"/>
    <col min="10" max="10" width="4.7109375" style="6" customWidth="1"/>
    <col min="11" max="11" width="18.7109375" style="6" customWidth="1"/>
    <col min="12" max="15" width="4.7109375" style="6" customWidth="1"/>
    <col min="16" max="17" width="8.7109375" style="6" customWidth="1"/>
    <col min="18" max="40" width="3.7109375" style="6" customWidth="1"/>
    <col min="41" max="16384" width="9.140625" style="6" customWidth="1"/>
  </cols>
  <sheetData>
    <row r="1" spans="1:17" ht="28.5" customHeight="1">
      <c r="A1" s="112" t="str">
        <f>Control!$A$1</f>
        <v>2006 New Zealand Championships</v>
      </c>
      <c r="B1" s="112"/>
      <c r="C1" s="112"/>
      <c r="D1" s="112"/>
      <c r="E1" s="112"/>
      <c r="F1" s="112"/>
      <c r="G1" s="112"/>
      <c r="H1" s="112"/>
      <c r="I1" s="112"/>
      <c r="J1" s="112"/>
      <c r="K1" s="112"/>
      <c r="L1" s="112"/>
      <c r="M1" s="112"/>
      <c r="N1" s="112"/>
      <c r="O1" s="112"/>
      <c r="P1" s="112"/>
      <c r="Q1" s="112"/>
    </row>
    <row r="2" spans="1:28" ht="28.5" customHeight="1">
      <c r="A2" s="113" t="str">
        <f>R2</f>
        <v>7/8 team grade with final</v>
      </c>
      <c r="B2" s="113"/>
      <c r="C2" s="113"/>
      <c r="D2" s="113"/>
      <c r="E2" s="113"/>
      <c r="F2" s="113"/>
      <c r="G2" s="113"/>
      <c r="H2" s="113"/>
      <c r="I2" s="113"/>
      <c r="J2" s="113"/>
      <c r="K2" s="113"/>
      <c r="L2" s="113"/>
      <c r="M2" s="113"/>
      <c r="N2" s="113"/>
      <c r="O2" s="113"/>
      <c r="P2" s="113"/>
      <c r="Q2" s="113"/>
      <c r="R2" s="58" t="s">
        <v>101</v>
      </c>
      <c r="S2" s="58" t="s">
        <v>99</v>
      </c>
      <c r="T2" s="58">
        <v>9</v>
      </c>
      <c r="U2" s="6">
        <v>1</v>
      </c>
      <c r="V2" s="6">
        <v>3</v>
      </c>
      <c r="W2" s="6">
        <v>2</v>
      </c>
      <c r="X2" s="6">
        <v>4</v>
      </c>
      <c r="Y2" s="6">
        <v>6</v>
      </c>
      <c r="Z2" s="6">
        <v>8</v>
      </c>
      <c r="AA2" s="6">
        <v>10</v>
      </c>
      <c r="AB2" s="6">
        <v>12</v>
      </c>
    </row>
    <row r="3" spans="1:17" ht="28.5" customHeight="1">
      <c r="A3" s="113" t="str">
        <f>S2</f>
        <v>Shield name</v>
      </c>
      <c r="B3" s="113"/>
      <c r="C3" s="113"/>
      <c r="D3" s="113"/>
      <c r="E3" s="113"/>
      <c r="F3" s="113"/>
      <c r="G3" s="113"/>
      <c r="H3" s="113"/>
      <c r="I3" s="113"/>
      <c r="J3" s="113"/>
      <c r="K3" s="113"/>
      <c r="L3" s="113"/>
      <c r="M3" s="113"/>
      <c r="N3" s="113"/>
      <c r="O3" s="113"/>
      <c r="P3" s="113"/>
      <c r="Q3" s="113"/>
    </row>
    <row r="4" spans="1:17" ht="28.5" customHeight="1">
      <c r="A4" s="37"/>
      <c r="B4" s="37"/>
      <c r="C4" s="37"/>
      <c r="D4" s="37"/>
      <c r="E4" s="37"/>
      <c r="F4" s="37"/>
      <c r="G4" s="37"/>
      <c r="H4" s="37"/>
      <c r="I4" s="37"/>
      <c r="J4" s="37"/>
      <c r="K4" s="37"/>
      <c r="L4" s="37"/>
      <c r="M4" s="37"/>
      <c r="N4" s="37"/>
      <c r="O4" s="37"/>
      <c r="P4" s="37"/>
      <c r="Q4" s="37"/>
    </row>
    <row r="5" spans="1:23" ht="28.5" customHeight="1">
      <c r="A5" s="38" t="s">
        <v>55</v>
      </c>
      <c r="I5" s="39" t="s">
        <v>26</v>
      </c>
      <c r="J5" s="38" t="s">
        <v>66</v>
      </c>
      <c r="V5" s="55" t="s">
        <v>2</v>
      </c>
      <c r="W5" s="55" t="s">
        <v>2</v>
      </c>
    </row>
    <row r="6" spans="2:23" ht="28.5" customHeight="1">
      <c r="B6" s="28" t="s">
        <v>4</v>
      </c>
      <c r="C6" s="28">
        <v>1</v>
      </c>
      <c r="D6" s="28">
        <v>2</v>
      </c>
      <c r="E6" s="28">
        <v>3</v>
      </c>
      <c r="F6" s="28">
        <v>4</v>
      </c>
      <c r="G6" s="28" t="s">
        <v>0</v>
      </c>
      <c r="H6" s="28" t="s">
        <v>1</v>
      </c>
      <c r="K6" s="28" t="s">
        <v>5</v>
      </c>
      <c r="L6" s="28">
        <v>1</v>
      </c>
      <c r="M6" s="28">
        <v>2</v>
      </c>
      <c r="N6" s="28">
        <v>3</v>
      </c>
      <c r="O6" s="28">
        <v>4</v>
      </c>
      <c r="P6" s="28" t="s">
        <v>0</v>
      </c>
      <c r="Q6" s="28" t="s">
        <v>1</v>
      </c>
      <c r="V6" s="55" t="s">
        <v>2</v>
      </c>
      <c r="W6" s="55">
        <f>INT(T2/2)</f>
        <v>4</v>
      </c>
    </row>
    <row r="7" spans="1:40" ht="28.5" customHeight="1">
      <c r="A7" s="28">
        <v>1</v>
      </c>
      <c r="B7" s="60" t="e">
        <f>IF(VLOOKUP(S7,RANGE,3,)&gt;VLOOKUP(S7,RANGE,4,),IF(R7=1,VLOOKUP(S7,RANGE,2,),VLOOKUP(S7,RANGE,5,)),IF(VLOOKUP(S7,RANGE,4,)&gt;VLOOKUP(S7,RANGE,3,),IF(R7=1,VLOOKUP(S7,RANGE,5,),VLOOKUP(S7,RANGE,2,)),IF(R7=1,CONCATENATE(VLOOKUP(S7,RANGE,2,)," or ",VLOOKUP(S7,RANGE,5,)),CONCATENATE(VLOOKUP(S7,RANGE,5,)," or ",VLOOKUP(S7,RANGE,2,)))))</f>
        <v>#REF!</v>
      </c>
      <c r="C7" s="41"/>
      <c r="D7" s="3"/>
      <c r="E7" s="3"/>
      <c r="F7" s="3"/>
      <c r="G7" s="7">
        <f>IF(COUNT(V7:Y7)&gt;0,SUM(AF7:AI7),"")</f>
      </c>
      <c r="H7" s="7">
        <f>IF(COUNT(G7:G7)&gt;0,IF(SUM(G$7:G$10)&gt;0,RANK(G7,G$7:G$10,0),""),"")</f>
      </c>
      <c r="J7" s="28">
        <v>1</v>
      </c>
      <c r="K7" s="60" t="e">
        <f>IF(VLOOKUP(U7,RANGE,3,)&gt;VLOOKUP(U7,RANGE,4,),IF(T7=1,VLOOKUP(U7,RANGE,2,),VLOOKUP(U7,RANGE,5,)),IF(VLOOKUP(U7,RANGE,4,)&gt;VLOOKUP(U7,RANGE,3,),IF(T7=1,VLOOKUP(U7,RANGE,5,),VLOOKUP(U7,RANGE,2,)),IF(T7=1,CONCATENATE(VLOOKUP(U7,RANGE,2,)," or ",VLOOKUP(U7,RANGE,5,)),CONCATENATE(VLOOKUP(U7,RANGE,5,)," or ",VLOOKUP(U7,RANGE,2,)))))</f>
        <v>#REF!</v>
      </c>
      <c r="L7" s="20"/>
      <c r="M7" s="3"/>
      <c r="N7" s="3"/>
      <c r="O7" s="3"/>
      <c r="P7" s="7">
        <f>IF(COUNT(AA7:AD7)&gt;0,SUM(AK7:AN7),"")</f>
      </c>
      <c r="Q7" s="7">
        <f>IF(COUNT(P7:P7)&gt;0,IF(SUM(P$7:P$10)&gt;0,RANK(P7,P$7:P$10,0),""),"")</f>
      </c>
      <c r="R7" s="6">
        <v>2</v>
      </c>
      <c r="S7" s="6">
        <v>1</v>
      </c>
      <c r="T7" s="6">
        <v>2</v>
      </c>
      <c r="U7" s="68">
        <v>2</v>
      </c>
      <c r="V7" s="21">
        <f aca="true" t="shared" si="0" ref="V7:Y10">IF(C7="","",VALUE(LEFT(C7)))</f>
      </c>
      <c r="W7" s="21">
        <f t="shared" si="0"/>
      </c>
      <c r="X7" s="21">
        <f t="shared" si="0"/>
      </c>
      <c r="Y7" s="21">
        <f t="shared" si="0"/>
      </c>
      <c r="Z7" s="21"/>
      <c r="AA7" s="21">
        <f aca="true" t="shared" si="1" ref="AA7:AD10">IF(L7="","",VALUE(LEFT(L7)))</f>
      </c>
      <c r="AB7" s="21">
        <f t="shared" si="1"/>
      </c>
      <c r="AC7" s="21">
        <f t="shared" si="1"/>
      </c>
      <c r="AD7" s="21">
        <f t="shared" si="1"/>
      </c>
      <c r="AF7" s="6">
        <f aca="true" t="shared" si="2" ref="AF7:AI10">IF(C7="","",IF(V7&gt;$W$6,1,""))</f>
      </c>
      <c r="AG7" s="55">
        <f t="shared" si="2"/>
      </c>
      <c r="AH7" s="55">
        <f t="shared" si="2"/>
      </c>
      <c r="AI7" s="55">
        <f t="shared" si="2"/>
      </c>
      <c r="AJ7" s="55"/>
      <c r="AK7" s="55">
        <f aca="true" t="shared" si="3" ref="AK7:AN10">IF(L7="","",IF(AA7&gt;$W$6,1,""))</f>
      </c>
      <c r="AL7" s="55">
        <f t="shared" si="3"/>
      </c>
      <c r="AM7" s="55">
        <f t="shared" si="3"/>
      </c>
      <c r="AN7" s="55">
        <f t="shared" si="3"/>
      </c>
    </row>
    <row r="8" spans="1:40" ht="28.5" customHeight="1">
      <c r="A8" s="28">
        <v>2</v>
      </c>
      <c r="B8" s="42" t="str">
        <f>CONCATENATE(VLOOKUP(R8,clubs,2,)," ",S8)</f>
        <v>Canterbury </v>
      </c>
      <c r="C8" s="16">
        <f>IF(ISBLANK(D7),"",CONCATENATE(RIGHT(D7),"-",LEFT(D7)))</f>
      </c>
      <c r="D8" s="20"/>
      <c r="E8" s="3"/>
      <c r="F8" s="3"/>
      <c r="G8" s="7">
        <f>IF(COUNT(V8:Y8)&gt;0,SUM(AF8:AI8),"")</f>
      </c>
      <c r="H8" s="7">
        <f>IF(COUNT(G8:G8)&gt;0,IF(SUM(G$7:G$10)&gt;0,RANK(G8,G$7:G$10,0),""),"")</f>
      </c>
      <c r="J8" s="28">
        <v>2</v>
      </c>
      <c r="K8" s="42" t="str">
        <f>CONCATENATE(VLOOKUP(T8,clubs,2,)," ",U8)</f>
        <v>Northland 1</v>
      </c>
      <c r="L8" s="16">
        <f>IF(ISBLANK(M7),"",CONCATENATE(RIGHT(M7),"-",LEFT(M7)))</f>
      </c>
      <c r="M8" s="20"/>
      <c r="N8" s="3"/>
      <c r="O8" s="3"/>
      <c r="P8" s="7">
        <f>IF(COUNT(AA8:AD8)&gt;0,SUM(AK8:AN8),"")</f>
      </c>
      <c r="Q8" s="7">
        <f>IF(COUNT(P8:P8)&gt;0,IF(SUM(P$7:P$10)&gt;0,RANK(P8,P$7:P$10,0),""),"")</f>
      </c>
      <c r="R8" s="6" t="s">
        <v>195</v>
      </c>
      <c r="T8" s="6" t="s">
        <v>200</v>
      </c>
      <c r="U8" s="6">
        <v>1</v>
      </c>
      <c r="V8" s="21">
        <f t="shared" si="0"/>
      </c>
      <c r="W8" s="21">
        <f t="shared" si="0"/>
      </c>
      <c r="X8" s="21">
        <f t="shared" si="0"/>
      </c>
      <c r="Y8" s="21">
        <f t="shared" si="0"/>
      </c>
      <c r="Z8" s="21"/>
      <c r="AA8" s="21">
        <f t="shared" si="1"/>
      </c>
      <c r="AB8" s="21">
        <f t="shared" si="1"/>
      </c>
      <c r="AC8" s="21">
        <f t="shared" si="1"/>
      </c>
      <c r="AD8" s="21">
        <f t="shared" si="1"/>
      </c>
      <c r="AF8" s="6">
        <f t="shared" si="2"/>
      </c>
      <c r="AG8" s="55">
        <f t="shared" si="2"/>
      </c>
      <c r="AH8" s="55">
        <f t="shared" si="2"/>
      </c>
      <c r="AI8" s="55">
        <f t="shared" si="2"/>
      </c>
      <c r="AJ8" s="55"/>
      <c r="AK8" s="55">
        <f t="shared" si="3"/>
      </c>
      <c r="AL8" s="55">
        <f t="shared" si="3"/>
      </c>
      <c r="AM8" s="55">
        <f t="shared" si="3"/>
      </c>
      <c r="AN8" s="55">
        <f t="shared" si="3"/>
      </c>
    </row>
    <row r="9" spans="1:40" ht="28.5" customHeight="1">
      <c r="A9" s="28">
        <v>3</v>
      </c>
      <c r="B9" s="42" t="str">
        <f>CONCATENATE(VLOOKUP(R9,clubs,2,)," ",S9)</f>
        <v>Wellington 2</v>
      </c>
      <c r="C9" s="16">
        <f>IF(ISBLANK(E7),"",CONCATENATE(RIGHT(E7),"-",LEFT(E7)))</f>
      </c>
      <c r="D9" s="16">
        <f>IF(ISBLANK(E8),"",CONCATENATE(RIGHT(E8),"-",LEFT(E8)))</f>
      </c>
      <c r="E9" s="20"/>
      <c r="F9" s="3"/>
      <c r="G9" s="7">
        <f>IF(COUNT(V9:Y9)&gt;0,SUM(AF9:AI9),"")</f>
      </c>
      <c r="H9" s="7">
        <f>IF(COUNT(G9:G9)&gt;0,IF(SUM(G$7:G$10)&gt;0,RANK(G9,G$7:G$10,0),""),"")</f>
      </c>
      <c r="J9" s="28">
        <v>3</v>
      </c>
      <c r="K9" s="60" t="str">
        <f>CONCATENATE(VLOOKUP(T9,clubs,2,)," ",U9)</f>
        <v>Waikato </v>
      </c>
      <c r="L9" s="16">
        <f>IF(ISBLANK(N7),"",CONCATENATE(RIGHT(N7),"-",LEFT(N7)))</f>
      </c>
      <c r="M9" s="16">
        <f>IF(ISBLANK(N8),"",CONCATENATE(RIGHT(N8),"-",LEFT(N8)))</f>
      </c>
      <c r="N9" s="20"/>
      <c r="O9" s="3"/>
      <c r="P9" s="7">
        <f>IF(COUNT(AA9:AD9)&gt;0,SUM(AK9:AN9),"")</f>
      </c>
      <c r="Q9" s="7">
        <f>IF(COUNT(P9:P9)&gt;0,IF(SUM(P$7:P$10)&gt;0,RANK(P9,P$7:P$10,0),""),"")</f>
      </c>
      <c r="R9" s="6" t="s">
        <v>196</v>
      </c>
      <c r="S9" s="6">
        <v>2</v>
      </c>
      <c r="T9" s="6" t="s">
        <v>197</v>
      </c>
      <c r="V9" s="21">
        <f t="shared" si="0"/>
      </c>
      <c r="W9" s="21">
        <f t="shared" si="0"/>
      </c>
      <c r="X9" s="21">
        <f t="shared" si="0"/>
      </c>
      <c r="Y9" s="21">
        <f t="shared" si="0"/>
      </c>
      <c r="Z9" s="21"/>
      <c r="AA9" s="21">
        <f t="shared" si="1"/>
      </c>
      <c r="AB9" s="21">
        <f t="shared" si="1"/>
      </c>
      <c r="AC9" s="21">
        <f t="shared" si="1"/>
      </c>
      <c r="AD9" s="21">
        <f t="shared" si="1"/>
      </c>
      <c r="AF9" s="6">
        <f t="shared" si="2"/>
      </c>
      <c r="AG9" s="55">
        <f t="shared" si="2"/>
      </c>
      <c r="AH9" s="55">
        <f t="shared" si="2"/>
      </c>
      <c r="AI9" s="55">
        <f t="shared" si="2"/>
      </c>
      <c r="AJ9" s="55"/>
      <c r="AK9" s="55">
        <f t="shared" si="3"/>
      </c>
      <c r="AL9" s="55">
        <f t="shared" si="3"/>
      </c>
      <c r="AM9" s="55">
        <f t="shared" si="3"/>
      </c>
      <c r="AN9" s="55">
        <f t="shared" si="3"/>
      </c>
    </row>
    <row r="10" spans="1:40" ht="28.5" customHeight="1">
      <c r="A10" s="28">
        <v>4</v>
      </c>
      <c r="B10" s="60" t="e">
        <f>IF(VLOOKUP(S10,RANGE,3,)&gt;VLOOKUP(S10,RANGE,4,),IF(R10=1,VLOOKUP(S10,RANGE,2,),VLOOKUP(S10,RANGE,5,)),IF(VLOOKUP(S10,RANGE,4,)&gt;VLOOKUP(S10,RANGE,3,),IF(R10=1,VLOOKUP(S10,RANGE,5,),VLOOKUP(S10,RANGE,2,)),IF(R10=1,CONCATENATE(VLOOKUP(S10,RANGE,2,)," or ",VLOOKUP(S10,RANGE,5,)),CONCATENATE(VLOOKUP(S10,RANGE,5,)," or ",VLOOKUP(S10,RANGE,2,)))))</f>
        <v>#REF!</v>
      </c>
      <c r="C10" s="16">
        <f>IF(ISBLANK(F7),"",CONCATENATE(RIGHT(F7),"-",LEFT(F7)))</f>
      </c>
      <c r="D10" s="16">
        <f>IF(ISBLANK(F8),"",CONCATENATE(RIGHT(F8),"-",LEFT(F8)))</f>
      </c>
      <c r="E10" s="16">
        <f>IF(ISBLANK(F9),"",CONCATENATE(RIGHT(F9),"-",LEFT(F9)))</f>
      </c>
      <c r="F10" s="20"/>
      <c r="G10" s="7">
        <f>IF(COUNT(V10:Y10)&gt;0,SUM(AF10:AI10),"")</f>
      </c>
      <c r="H10" s="7">
        <f>IF(COUNT(G10:G10)&gt;0,IF(SUM(G$7:G$10)&gt;0,RANK(G10,G$7:G$10,0),""),"")</f>
      </c>
      <c r="J10" s="28">
        <v>4</v>
      </c>
      <c r="K10" s="60" t="e">
        <f>IF(VLOOKUP(U10,RANGE,3,)&gt;VLOOKUP(U10,RANGE,4,),IF(T10=1,VLOOKUP(U10,RANGE,2,),VLOOKUP(U10,RANGE,5,)),IF(VLOOKUP(U10,RANGE,4,)&gt;VLOOKUP(U10,RANGE,3,),IF(T10=1,VLOOKUP(U10,RANGE,5,),VLOOKUP(U10,RANGE,2,)),IF(T10=1,CONCATENATE(VLOOKUP(U10,RANGE,2,)," or ",VLOOKUP(U10,RANGE,5,)),CONCATENATE(VLOOKUP(U10,RANGE,5,)," or ",VLOOKUP(U10,RANGE,2,)))))</f>
        <v>#REF!</v>
      </c>
      <c r="L10" s="16">
        <f>IF(ISBLANK(O7),"",CONCATENATE(RIGHT(O7),"-",LEFT(O7)))</f>
      </c>
      <c r="M10" s="16">
        <f>IF(ISBLANK(O8),"",CONCATENATE(RIGHT(O8),"-",LEFT(O8)))</f>
      </c>
      <c r="N10" s="16">
        <f>IF(ISBLANK(O9),"",CONCATENATE(RIGHT(O9),"-",LEFT(O9)))</f>
      </c>
      <c r="O10" s="20"/>
      <c r="P10" s="7">
        <f>IF(COUNT(AA10:AD10)&gt;0,SUM(AK10:AN10),"")</f>
      </c>
      <c r="Q10" s="7">
        <f>IF(COUNT(P10:P10)&gt;0,IF(SUM(P$7:P$10)&gt;0,RANK(P10,P$7:P$10,0),""),"")</f>
      </c>
      <c r="R10" s="6">
        <v>1</v>
      </c>
      <c r="S10" s="6">
        <v>1</v>
      </c>
      <c r="T10" s="6">
        <v>1</v>
      </c>
      <c r="U10" s="68">
        <v>2</v>
      </c>
      <c r="V10" s="21">
        <f t="shared" si="0"/>
      </c>
      <c r="W10" s="21">
        <f t="shared" si="0"/>
      </c>
      <c r="X10" s="21">
        <f t="shared" si="0"/>
      </c>
      <c r="Y10" s="21">
        <f t="shared" si="0"/>
      </c>
      <c r="Z10" s="21"/>
      <c r="AA10" s="21">
        <f t="shared" si="1"/>
      </c>
      <c r="AB10" s="21">
        <f t="shared" si="1"/>
      </c>
      <c r="AC10" s="21">
        <f t="shared" si="1"/>
      </c>
      <c r="AD10" s="21">
        <f t="shared" si="1"/>
      </c>
      <c r="AF10" s="6">
        <f t="shared" si="2"/>
      </c>
      <c r="AG10" s="55">
        <f t="shared" si="2"/>
      </c>
      <c r="AH10" s="55">
        <f t="shared" si="2"/>
      </c>
      <c r="AI10" s="55">
        <f t="shared" si="2"/>
      </c>
      <c r="AJ10" s="55"/>
      <c r="AK10" s="55">
        <f t="shared" si="3"/>
      </c>
      <c r="AL10" s="55">
        <f t="shared" si="3"/>
      </c>
      <c r="AM10" s="55">
        <f t="shared" si="3"/>
      </c>
      <c r="AN10" s="55">
        <f t="shared" si="3"/>
      </c>
    </row>
    <row r="11" ht="28.5" customHeight="1"/>
    <row r="12" spans="2:23" ht="28.5" customHeight="1">
      <c r="B12" s="28" t="s">
        <v>9</v>
      </c>
      <c r="C12" s="114" t="str">
        <f>CONCATENATE("Table ",R12)</f>
        <v>Table 1</v>
      </c>
      <c r="D12" s="115"/>
      <c r="E12" s="114" t="str">
        <f>CONCATENATE("Table ",T12)</f>
        <v>Table 2</v>
      </c>
      <c r="F12" s="115"/>
      <c r="G12" s="28" t="str">
        <f>CONCATENATE("Table ",V12)</f>
        <v>Table 3</v>
      </c>
      <c r="H12" s="28" t="str">
        <f>CONCATENATE("Table ",W12)</f>
        <v>Table 4</v>
      </c>
      <c r="R12" s="6">
        <f>U2</f>
        <v>1</v>
      </c>
      <c r="T12" s="6">
        <f>R12+1</f>
        <v>2</v>
      </c>
      <c r="V12" s="6">
        <f>T12+1</f>
        <v>3</v>
      </c>
      <c r="W12" s="6">
        <f>V12+1</f>
        <v>4</v>
      </c>
    </row>
    <row r="13" spans="2:20" ht="28.5" customHeight="1">
      <c r="B13" s="28" t="str">
        <f>CONCATENATE(VLOOKUP(S13,times,2,),T13)</f>
        <v>TH-1130 </v>
      </c>
      <c r="C13" s="108" t="s">
        <v>43</v>
      </c>
      <c r="D13" s="108"/>
      <c r="E13" s="108" t="s">
        <v>44</v>
      </c>
      <c r="F13" s="108"/>
      <c r="G13" s="43" t="s">
        <v>45</v>
      </c>
      <c r="H13" s="43" t="s">
        <v>46</v>
      </c>
      <c r="S13" s="6">
        <f>W2</f>
        <v>2</v>
      </c>
      <c r="T13" s="6" t="s">
        <v>2</v>
      </c>
    </row>
    <row r="14" spans="2:19" ht="28.5" customHeight="1">
      <c r="B14" s="28" t="str">
        <f>CONCATENATE(VLOOKUP(S14,times,2,),T14)</f>
        <v>TH-1630</v>
      </c>
      <c r="C14" s="108" t="s">
        <v>49</v>
      </c>
      <c r="D14" s="108"/>
      <c r="E14" s="108" t="s">
        <v>50</v>
      </c>
      <c r="F14" s="108"/>
      <c r="G14" s="29" t="s">
        <v>47</v>
      </c>
      <c r="H14" s="29" t="s">
        <v>48</v>
      </c>
      <c r="S14" s="6">
        <f>X2</f>
        <v>4</v>
      </c>
    </row>
    <row r="15" spans="2:19" ht="28.5" customHeight="1">
      <c r="B15" s="28" t="str">
        <f>CONCATENATE(VLOOKUP(S15,times,2,),T15)</f>
        <v>TH-1930</v>
      </c>
      <c r="C15" s="108" t="s">
        <v>54</v>
      </c>
      <c r="D15" s="108"/>
      <c r="E15" s="108" t="s">
        <v>51</v>
      </c>
      <c r="F15" s="108"/>
      <c r="G15" s="29" t="s">
        <v>53</v>
      </c>
      <c r="H15" s="29" t="s">
        <v>52</v>
      </c>
      <c r="S15" s="6">
        <f>Y2</f>
        <v>6</v>
      </c>
    </row>
    <row r="16" spans="2:19" ht="28.5" customHeight="1">
      <c r="B16" s="44"/>
      <c r="C16" s="45"/>
      <c r="D16" s="45"/>
      <c r="E16" s="45"/>
      <c r="F16" s="45"/>
      <c r="K16" s="44"/>
      <c r="L16" s="45"/>
      <c r="M16" s="45"/>
      <c r="N16" s="45"/>
      <c r="O16" s="45"/>
      <c r="S16" s="6" t="s">
        <v>2</v>
      </c>
    </row>
    <row r="17" spans="1:10" ht="28.5" customHeight="1">
      <c r="A17" s="38" t="s">
        <v>55</v>
      </c>
      <c r="I17" s="39" t="s">
        <v>27</v>
      </c>
      <c r="J17" s="38" t="s">
        <v>66</v>
      </c>
    </row>
    <row r="18" spans="2:17" ht="28.5" customHeight="1">
      <c r="B18" s="46" t="s">
        <v>64</v>
      </c>
      <c r="C18" s="28">
        <v>1</v>
      </c>
      <c r="D18" s="28">
        <v>2</v>
      </c>
      <c r="E18" s="28">
        <v>3</v>
      </c>
      <c r="F18" s="28">
        <v>4</v>
      </c>
      <c r="G18" s="28" t="s">
        <v>0</v>
      </c>
      <c r="H18" s="46" t="s">
        <v>1</v>
      </c>
      <c r="K18" s="46" t="s">
        <v>65</v>
      </c>
      <c r="L18" s="28">
        <v>1</v>
      </c>
      <c r="M18" s="28">
        <v>2</v>
      </c>
      <c r="N18" s="28">
        <v>3</v>
      </c>
      <c r="O18" s="28">
        <v>4</v>
      </c>
      <c r="P18" s="28" t="s">
        <v>0</v>
      </c>
      <c r="Q18" s="46" t="s">
        <v>1</v>
      </c>
    </row>
    <row r="19" spans="1:40" ht="28.5" customHeight="1">
      <c r="A19" s="28" t="s">
        <v>56</v>
      </c>
      <c r="B19" s="4">
        <f>IF(SUM($G$7:$G$10)=6,INDEX($B$7:$B$10,MATCH(1,$H$7:$H$10,0)),"")</f>
      </c>
      <c r="C19" s="20"/>
      <c r="D19" s="3"/>
      <c r="E19" s="3"/>
      <c r="F19" s="8">
        <f>IF(SUM($G$7:$G$10)=6,INDEX($C$7:$F$10,MATCH(1,$H$7:$H$10,0),MATCH(2,$H$7:$H$10,0)),"")</f>
      </c>
      <c r="G19" s="7">
        <f>IF(COUNT(V19:Y19)&gt;0,SUM(AF19:AI19),"")</f>
      </c>
      <c r="H19" s="7">
        <f>IF(COUNT(G19:G19)&gt;0,IF(SUM(G$19:G$22)&gt;0,RANK(G19,G$19:G$22,0),""),"")</f>
      </c>
      <c r="J19" s="28" t="s">
        <v>60</v>
      </c>
      <c r="K19" s="4">
        <f>IF(SUM($G$7:$G$10)=6,INDEX($B$7:$B$10,MATCH(3,$H$7:$H$10,0)),"")</f>
      </c>
      <c r="L19" s="20"/>
      <c r="M19" s="3"/>
      <c r="N19" s="3"/>
      <c r="O19" s="9">
        <f>IF(SUM($G$7:$G$10)=6,INDEX($C$7:$F$10,MATCH(3,$H$7:$H$10,0),MATCH(4,$H$7:$H$10,0)),"")</f>
      </c>
      <c r="P19" s="7">
        <f>IF(COUNT(AA19:AD19)&gt;0,SUM(AK19:AN19),"")</f>
      </c>
      <c r="Q19" s="7">
        <f>IF(COUNT(P19:P19)&gt;0,IF(SUM(P$19:P$22)&gt;0,4+RANK(P19,P$19:P$22,0),""),"")</f>
      </c>
      <c r="V19" s="21">
        <f aca="true" t="shared" si="4" ref="V19:Y22">IF(C19="","",VALUE(LEFT(C19)))</f>
      </c>
      <c r="W19" s="21">
        <f t="shared" si="4"/>
      </c>
      <c r="X19" s="21">
        <f t="shared" si="4"/>
      </c>
      <c r="Y19" s="21">
        <f t="shared" si="4"/>
      </c>
      <c r="Z19" s="21"/>
      <c r="AA19" s="21">
        <f aca="true" t="shared" si="5" ref="AA19:AD22">IF(L19="","",VALUE(LEFT(L19)))</f>
      </c>
      <c r="AB19" s="21">
        <f t="shared" si="5"/>
      </c>
      <c r="AC19" s="21">
        <f t="shared" si="5"/>
      </c>
      <c r="AD19" s="21">
        <f t="shared" si="5"/>
      </c>
      <c r="AF19" s="6">
        <f aca="true" t="shared" si="6" ref="AF19:AI22">IF(C19="","",IF(V19&gt;$W$6,1,""))</f>
      </c>
      <c r="AG19" s="55">
        <f t="shared" si="6"/>
      </c>
      <c r="AH19" s="55">
        <f t="shared" si="6"/>
      </c>
      <c r="AI19" s="55">
        <f t="shared" si="6"/>
      </c>
      <c r="AJ19" s="55"/>
      <c r="AK19" s="55">
        <f aca="true" t="shared" si="7" ref="AK19:AN22">IF(L19="","",IF(AA19&gt;$W$6,1,""))</f>
      </c>
      <c r="AL19" s="55">
        <f t="shared" si="7"/>
      </c>
      <c r="AM19" s="55">
        <f t="shared" si="7"/>
      </c>
      <c r="AN19" s="55">
        <f t="shared" si="7"/>
      </c>
    </row>
    <row r="20" spans="1:40" ht="28.5" customHeight="1">
      <c r="A20" s="28" t="s">
        <v>57</v>
      </c>
      <c r="B20" s="4">
        <f>IF(SUM($P$7:$P$10)=6,INDEX($K$7:$K$10,MATCH(1,$Q$7:$Q$10,0)),"")</f>
      </c>
      <c r="C20" s="16">
        <f>IF(ISBLANK(D19),"",CONCATENATE(RIGHT(D19),"-",LEFT(D19)))</f>
      </c>
      <c r="D20" s="20"/>
      <c r="E20" s="8">
        <f>IF(SUM($P$7:$P$10)=6,INDEX($L$7:$O$10,MATCH(1,$Q$7:$Q$10,0),MATCH(2,$Q$7:$Q$10,0)),"")</f>
      </c>
      <c r="F20" s="3"/>
      <c r="G20" s="7">
        <f>IF(COUNT(V20:Y20)&gt;0,SUM(AF20:AI20),"")</f>
      </c>
      <c r="H20" s="7">
        <f>IF(COUNT(G20:G20)&gt;0,IF(SUM(G$19:G$22)&gt;0,RANK(G20,G$19:G$22,0),""),"")</f>
      </c>
      <c r="J20" s="28" t="s">
        <v>61</v>
      </c>
      <c r="K20" s="4">
        <f>IF(SUM($P$7:$P$10)=6,INDEX($K$7:$K$10,MATCH(3,$Q$7:$Q$10,0)),"")</f>
      </c>
      <c r="L20" s="16">
        <f>IF(ISBLANK(M19),"",CONCATENATE(RIGHT(M19),"-",LEFT(M19)))</f>
      </c>
      <c r="M20" s="20"/>
      <c r="N20" s="8">
        <f>IF(SUM($P$7:$P$10)=6,INDEX($L$7:$O$10,MATCH(3,$Q$7:$Q$10,0),MATCH(4,$Q$7:$Q$10,0)),"")</f>
      </c>
      <c r="O20" s="3"/>
      <c r="P20" s="7">
        <f>IF(COUNT(AA20:AD20)&gt;0,SUM(AK20:AN20),"")</f>
      </c>
      <c r="Q20" s="7">
        <f>IF(COUNT(P20:P20)&gt;0,IF(SUM(P$19:P$22)&gt;0,4+RANK(P20,P$19:P$22,0),""),"")</f>
      </c>
      <c r="V20" s="21">
        <f t="shared" si="4"/>
      </c>
      <c r="W20" s="21">
        <f t="shared" si="4"/>
      </c>
      <c r="X20" s="21">
        <f t="shared" si="4"/>
      </c>
      <c r="Y20" s="21">
        <f t="shared" si="4"/>
      </c>
      <c r="Z20" s="21"/>
      <c r="AA20" s="21">
        <f t="shared" si="5"/>
      </c>
      <c r="AB20" s="21">
        <f t="shared" si="5"/>
      </c>
      <c r="AC20" s="21">
        <f t="shared" si="5"/>
      </c>
      <c r="AD20" s="21">
        <f t="shared" si="5"/>
      </c>
      <c r="AF20" s="6">
        <f t="shared" si="6"/>
      </c>
      <c r="AG20" s="55">
        <f t="shared" si="6"/>
      </c>
      <c r="AH20" s="55">
        <f t="shared" si="6"/>
      </c>
      <c r="AI20" s="55">
        <f t="shared" si="6"/>
      </c>
      <c r="AJ20" s="55"/>
      <c r="AK20" s="55">
        <f t="shared" si="7"/>
      </c>
      <c r="AL20" s="55">
        <f t="shared" si="7"/>
      </c>
      <c r="AM20" s="55">
        <f t="shared" si="7"/>
      </c>
      <c r="AN20" s="55">
        <f t="shared" si="7"/>
      </c>
    </row>
    <row r="21" spans="1:40" ht="28.5" customHeight="1">
      <c r="A21" s="28" t="s">
        <v>58</v>
      </c>
      <c r="B21" s="4">
        <f>IF(SUM($P$7:$P$10)=6,INDEX($K$7:$K$10,MATCH(2,$Q$7:$Q$10,0)),"")</f>
      </c>
      <c r="C21" s="16">
        <f>IF(ISBLANK(E19),"",CONCATENATE(RIGHT(E19),"-",LEFT(E19)))</f>
      </c>
      <c r="D21" s="8">
        <f>IF(SUM($P$7:$P$10)=6,INDEX($L$7:$O$10,MATCH(2,$Q$7:$Q$10,0),MATCH(1,$Q$7:$Q$10,0)),"")</f>
      </c>
      <c r="E21" s="20"/>
      <c r="F21" s="3"/>
      <c r="G21" s="7">
        <f>IF(COUNT(V21:Y21)&gt;0,SUM(AF21:AI21),"")</f>
      </c>
      <c r="H21" s="7">
        <f>IF(COUNT(G21:G21)&gt;0,IF(SUM(G$19:G$22)&gt;0,RANK(G21,G$19:G$22,0),""),"")</f>
      </c>
      <c r="J21" s="28" t="s">
        <v>62</v>
      </c>
      <c r="K21" s="4">
        <f>IF(SUM($P$7:$P$10)=6,INDEX($K$7:$K$10,MATCH(4,$Q$7:$Q$10,0)),"")</f>
      </c>
      <c r="L21" s="16">
        <f>IF(ISBLANK(N19),"",CONCATENATE(RIGHT(N19),"-",LEFT(N19)))</f>
      </c>
      <c r="M21" s="8">
        <f>IF(SUM($P$7:$P$10)=6,INDEX($L$7:$O$10,MATCH(4,$Q$7:$Q$10,0),MATCH(3,$Q$7:$Q$10,0)),"")</f>
      </c>
      <c r="N21" s="20"/>
      <c r="O21" s="3"/>
      <c r="P21" s="7">
        <f>IF(COUNT(AA21:AD21)&gt;0,SUM(AK21:AN21),"")</f>
      </c>
      <c r="Q21" s="7">
        <f>IF(COUNT(P21:P21)&gt;0,IF(SUM(P$19:P$22)&gt;0,4+RANK(P21,P$19:P$22,0),""),"")</f>
      </c>
      <c r="V21" s="21">
        <f t="shared" si="4"/>
      </c>
      <c r="W21" s="21">
        <f t="shared" si="4"/>
      </c>
      <c r="X21" s="21">
        <f t="shared" si="4"/>
      </c>
      <c r="Y21" s="21">
        <f t="shared" si="4"/>
      </c>
      <c r="Z21" s="21"/>
      <c r="AA21" s="21">
        <f t="shared" si="5"/>
      </c>
      <c r="AB21" s="21">
        <f t="shared" si="5"/>
      </c>
      <c r="AC21" s="21">
        <f t="shared" si="5"/>
      </c>
      <c r="AD21" s="21">
        <f t="shared" si="5"/>
      </c>
      <c r="AF21" s="6">
        <f t="shared" si="6"/>
      </c>
      <c r="AG21" s="55">
        <f t="shared" si="6"/>
      </c>
      <c r="AH21" s="55">
        <f t="shared" si="6"/>
      </c>
      <c r="AI21" s="55">
        <f t="shared" si="6"/>
      </c>
      <c r="AJ21" s="55"/>
      <c r="AK21" s="55">
        <f t="shared" si="7"/>
      </c>
      <c r="AL21" s="55">
        <f t="shared" si="7"/>
      </c>
      <c r="AM21" s="55">
        <f t="shared" si="7"/>
      </c>
      <c r="AN21" s="55">
        <f t="shared" si="7"/>
      </c>
    </row>
    <row r="22" spans="1:40" ht="28.5" customHeight="1">
      <c r="A22" s="28" t="s">
        <v>59</v>
      </c>
      <c r="B22" s="4">
        <f>IF(SUM($G$7:$G$10)=6,INDEX($B$7:$B$10,MATCH(2,$H$7:$H$10,0)),"")</f>
      </c>
      <c r="C22" s="8">
        <f>IF(SUM($G$7:$G$10)=6,INDEX($C$7:$F$10,MATCH(2,$H$7:$H$10,0),MATCH(1,$H$7:$H$10,0)),"")</f>
      </c>
      <c r="D22" s="16">
        <f>IF(ISBLANK(F20),"",CONCATENATE(RIGHT(F20),"-",LEFT(F20)))</f>
      </c>
      <c r="E22" s="16">
        <f>IF(ISBLANK(F21),"",CONCATENATE(RIGHT(F21),"-",LEFT(F21)))</f>
      </c>
      <c r="F22" s="20"/>
      <c r="G22" s="7">
        <f>IF(COUNT(V22:Y22)&gt;0,SUM(AF22:AI22),"")</f>
      </c>
      <c r="H22" s="7">
        <f>IF(COUNT(G22:G22)&gt;0,IF(SUM(G$19:G$22)&gt;0,RANK(G22,G$19:G$22,0),""),"")</f>
      </c>
      <c r="J22" s="28" t="s">
        <v>63</v>
      </c>
      <c r="K22" s="4">
        <f>IF(SUM($G$7:$G$10)=6,INDEX($B$7:$B$10,MATCH(4,$H$7:$H$10,0)),"")</f>
      </c>
      <c r="L22" s="8">
        <f>IF(SUM($G$7:$G$10)=6,INDEX($C$7:$F$10,MATCH(4,$H$7:$H$10,0),MATCH(3,$H$7:$H$10,0)),"")</f>
      </c>
      <c r="M22" s="16">
        <f>IF(ISBLANK(O20),"",CONCATENATE(RIGHT(O20),"-",LEFT(O20)))</f>
      </c>
      <c r="N22" s="16">
        <f>IF(ISBLANK(O21),"",CONCATENATE(RIGHT(O21),"-",LEFT(O21)))</f>
      </c>
      <c r="O22" s="20"/>
      <c r="P22" s="7">
        <f>IF(COUNT(AA22:AD22)&gt;0,SUM(AK22:AN22),"")</f>
      </c>
      <c r="Q22" s="7">
        <f>IF(COUNT(P22:P22)&gt;0,IF(SUM(P$19:P$22)&gt;0,4+RANK(P22,P$19:P$22,0),""),"")</f>
      </c>
      <c r="V22" s="21">
        <f t="shared" si="4"/>
      </c>
      <c r="W22" s="21">
        <f t="shared" si="4"/>
      </c>
      <c r="X22" s="21">
        <f t="shared" si="4"/>
      </c>
      <c r="Y22" s="21">
        <f t="shared" si="4"/>
      </c>
      <c r="Z22" s="21"/>
      <c r="AA22" s="21">
        <f t="shared" si="5"/>
      </c>
      <c r="AB22" s="21">
        <f t="shared" si="5"/>
      </c>
      <c r="AC22" s="21">
        <f t="shared" si="5"/>
      </c>
      <c r="AD22" s="21">
        <f t="shared" si="5"/>
      </c>
      <c r="AF22" s="6">
        <f t="shared" si="6"/>
      </c>
      <c r="AG22" s="55">
        <f t="shared" si="6"/>
      </c>
      <c r="AH22" s="55">
        <f t="shared" si="6"/>
      </c>
      <c r="AI22" s="55">
        <f t="shared" si="6"/>
      </c>
      <c r="AJ22" s="55"/>
      <c r="AK22" s="55">
        <f t="shared" si="7"/>
      </c>
      <c r="AL22" s="55">
        <f t="shared" si="7"/>
      </c>
      <c r="AM22" s="55">
        <f t="shared" si="7"/>
      </c>
      <c r="AN22" s="55">
        <f t="shared" si="7"/>
      </c>
    </row>
    <row r="23" ht="28.5" customHeight="1">
      <c r="N23" s="6" t="s">
        <v>2</v>
      </c>
    </row>
    <row r="24" spans="2:24" ht="28.5" customHeight="1">
      <c r="B24" s="28" t="s">
        <v>9</v>
      </c>
      <c r="C24" s="114" t="str">
        <f>CONCATENATE("Table ",R24)</f>
        <v>Table 1</v>
      </c>
      <c r="D24" s="115"/>
      <c r="E24" s="114" t="str">
        <f>CONCATENATE("Table ",T24)</f>
        <v>Table 2</v>
      </c>
      <c r="F24" s="115"/>
      <c r="K24" s="28" t="s">
        <v>9</v>
      </c>
      <c r="L24" s="114" t="str">
        <f>CONCATENATE("Table ",V24)</f>
        <v>Table 3</v>
      </c>
      <c r="M24" s="115"/>
      <c r="N24" s="114" t="str">
        <f>CONCATENATE("Table ",X24)</f>
        <v>Table 4</v>
      </c>
      <c r="O24" s="115"/>
      <c r="R24" s="6">
        <f>R12</f>
        <v>1</v>
      </c>
      <c r="T24" s="6">
        <f>R24+1</f>
        <v>2</v>
      </c>
      <c r="V24" s="6">
        <f>T24+1</f>
        <v>3</v>
      </c>
      <c r="W24" s="6" t="s">
        <v>2</v>
      </c>
      <c r="X24" s="6">
        <f>V24+1</f>
        <v>4</v>
      </c>
    </row>
    <row r="25" spans="2:19" ht="28.5" customHeight="1">
      <c r="B25" s="28" t="str">
        <f>CONCATENATE(VLOOKUP(S25,times,2,),T25)</f>
        <v>FR-1130</v>
      </c>
      <c r="C25" s="108" t="s">
        <v>35</v>
      </c>
      <c r="D25" s="108"/>
      <c r="E25" s="108" t="s">
        <v>36</v>
      </c>
      <c r="F25" s="108"/>
      <c r="K25" s="28" t="str">
        <f>CONCATENATE(VLOOKUP(S25,times,2,),U25)</f>
        <v>FR-1130</v>
      </c>
      <c r="L25" s="108" t="s">
        <v>39</v>
      </c>
      <c r="M25" s="108"/>
      <c r="N25" s="108" t="s">
        <v>42</v>
      </c>
      <c r="O25" s="108"/>
      <c r="S25" s="6">
        <f>Z2</f>
        <v>8</v>
      </c>
    </row>
    <row r="26" spans="2:19" ht="28.5" customHeight="1">
      <c r="B26" s="28" t="str">
        <f>CONCATENATE(VLOOKUP(S26,times,2,),T26)</f>
        <v>FR-1630</v>
      </c>
      <c r="C26" s="108" t="s">
        <v>37</v>
      </c>
      <c r="D26" s="108"/>
      <c r="E26" s="108" t="s">
        <v>38</v>
      </c>
      <c r="F26" s="108"/>
      <c r="K26" s="28" t="str">
        <f>CONCATENATE(VLOOKUP(S26,times,2,),U26)</f>
        <v>FR-1630</v>
      </c>
      <c r="L26" s="108" t="s">
        <v>40</v>
      </c>
      <c r="M26" s="108"/>
      <c r="N26" s="108" t="s">
        <v>41</v>
      </c>
      <c r="O26" s="108"/>
      <c r="S26" s="6">
        <f>AA2</f>
        <v>10</v>
      </c>
    </row>
    <row r="27" spans="2:15" ht="28.5" customHeight="1">
      <c r="B27" s="44"/>
      <c r="K27" s="44"/>
      <c r="L27" s="45"/>
      <c r="M27" s="45"/>
      <c r="N27" s="45"/>
      <c r="O27" s="45"/>
    </row>
    <row r="28" spans="2:15" ht="28.5" customHeight="1">
      <c r="B28" s="44"/>
      <c r="C28" s="45"/>
      <c r="D28" s="45"/>
      <c r="E28" s="45"/>
      <c r="F28" s="45"/>
      <c r="K28" s="44"/>
      <c r="L28" s="45"/>
      <c r="M28" s="45"/>
      <c r="N28" s="45"/>
      <c r="O28" s="45"/>
    </row>
    <row r="29" spans="2:15" ht="28.5" customHeight="1">
      <c r="B29" s="26" t="s">
        <v>3</v>
      </c>
      <c r="D29" s="45"/>
      <c r="E29" s="45"/>
      <c r="F29" s="45"/>
      <c r="K29" s="44"/>
      <c r="L29" s="45"/>
      <c r="M29" s="45"/>
      <c r="N29" s="45"/>
      <c r="O29" s="45"/>
    </row>
    <row r="30" spans="2:20" ht="28.5" customHeight="1">
      <c r="B30" s="26" t="str">
        <f>CONCATENATE(VLOOKUP(S30,times,2,),"-",T30)</f>
        <v>FR-1930-3</v>
      </c>
      <c r="D30" s="45"/>
      <c r="E30" s="45"/>
      <c r="F30" s="45"/>
      <c r="K30" s="44"/>
      <c r="L30" s="45"/>
      <c r="M30" s="45"/>
      <c r="N30" s="45"/>
      <c r="O30" s="45"/>
      <c r="S30" s="6">
        <f>AB2</f>
        <v>12</v>
      </c>
      <c r="T30" s="6">
        <f>V2</f>
        <v>3</v>
      </c>
    </row>
    <row r="31" spans="2:15" ht="28.5" customHeight="1">
      <c r="B31" s="30">
        <f>IF(SUM($G$19:$G$22)=6,INDEX($B$19:$B$22,MATCH(1,$H$19:$H$22,0)),"")</f>
      </c>
      <c r="C31" s="2"/>
      <c r="D31" s="45"/>
      <c r="E31" s="36">
        <f>IF(C31&gt;C32,"WINNER","")</f>
      </c>
      <c r="F31" s="45"/>
      <c r="K31" s="44"/>
      <c r="L31" s="45"/>
      <c r="M31" s="45"/>
      <c r="N31" s="45"/>
      <c r="O31" s="45"/>
    </row>
    <row r="32" spans="2:5" ht="28.5" customHeight="1">
      <c r="B32" s="30">
        <f>IF(SUM($G$19:$G$22)=6,INDEX($B$19:$B$22,MATCH(2,$H$19:$H$22,0)),"")</f>
      </c>
      <c r="C32" s="2"/>
      <c r="E32" s="36">
        <f>IF(C32&gt;C31,"WINNER","")</f>
      </c>
    </row>
    <row r="33" ht="28.5" customHeight="1"/>
    <row r="34" ht="12.75">
      <c r="B34" s="31" t="s">
        <v>30</v>
      </c>
    </row>
    <row r="36" ht="12.75">
      <c r="B36" s="6" t="s">
        <v>34</v>
      </c>
    </row>
    <row r="37" ht="12.75">
      <c r="B37" s="6" t="s">
        <v>32</v>
      </c>
    </row>
    <row r="38" ht="12.75">
      <c r="B38" s="6" t="s">
        <v>33</v>
      </c>
    </row>
    <row r="39" ht="12.75">
      <c r="B39" s="6" t="s">
        <v>31</v>
      </c>
    </row>
  </sheetData>
  <mergeCells count="23">
    <mergeCell ref="L26:M26"/>
    <mergeCell ref="N26:O26"/>
    <mergeCell ref="L24:M24"/>
    <mergeCell ref="N24:O24"/>
    <mergeCell ref="L25:M25"/>
    <mergeCell ref="N25:O25"/>
    <mergeCell ref="C14:D14"/>
    <mergeCell ref="E14:F14"/>
    <mergeCell ref="A1:Q1"/>
    <mergeCell ref="A2:Q2"/>
    <mergeCell ref="A3:Q3"/>
    <mergeCell ref="C13:D13"/>
    <mergeCell ref="E13:F13"/>
    <mergeCell ref="C12:D12"/>
    <mergeCell ref="E12:F12"/>
    <mergeCell ref="C26:D26"/>
    <mergeCell ref="E26:F26"/>
    <mergeCell ref="C25:D25"/>
    <mergeCell ref="E25:F25"/>
    <mergeCell ref="E15:F15"/>
    <mergeCell ref="C24:D24"/>
    <mergeCell ref="E24:F24"/>
    <mergeCell ref="C15:D15"/>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sheetPr>
    <pageSetUpPr fitToPage="1"/>
  </sheetPr>
  <dimension ref="A1:AZ34"/>
  <sheetViews>
    <sheetView workbookViewId="0" topLeftCell="A1">
      <selection activeCell="B30" sqref="B30"/>
    </sheetView>
  </sheetViews>
  <sheetFormatPr defaultColWidth="9.140625" defaultRowHeight="12.75"/>
  <cols>
    <col min="1" max="1" width="4.7109375" style="6" customWidth="1"/>
    <col min="2" max="2" width="16.7109375" style="6" customWidth="1"/>
    <col min="3" max="5" width="4.7109375" style="6" customWidth="1"/>
    <col min="6" max="8" width="8.7109375" style="6" customWidth="1"/>
    <col min="9" max="9" width="4.7109375" style="6" customWidth="1"/>
    <col min="10" max="10" width="16.7109375" style="6" customWidth="1"/>
    <col min="11" max="13" width="4.7109375" style="6" customWidth="1"/>
    <col min="14" max="16" width="8.7109375" style="6" customWidth="1"/>
    <col min="17" max="17" width="4.7109375" style="6" customWidth="1"/>
    <col min="18" max="18" width="16.7109375" style="6" customWidth="1"/>
    <col min="19" max="21" width="4.7109375" style="6" customWidth="1"/>
    <col min="22" max="23" width="8.7109375" style="6" customWidth="1"/>
    <col min="24" max="52" width="3.7109375" style="6" customWidth="1"/>
    <col min="53" max="16384" width="9.140625" style="6" customWidth="1"/>
  </cols>
  <sheetData>
    <row r="1" spans="1:23" ht="28.5" customHeight="1">
      <c r="A1" s="129" t="str">
        <f>Control!$A$1</f>
        <v>2006 New Zealand Championships</v>
      </c>
      <c r="B1" s="129"/>
      <c r="C1" s="129"/>
      <c r="D1" s="129"/>
      <c r="E1" s="129"/>
      <c r="F1" s="129"/>
      <c r="G1" s="129"/>
      <c r="H1" s="129"/>
      <c r="I1" s="129"/>
      <c r="J1" s="129"/>
      <c r="K1" s="129"/>
      <c r="L1" s="129"/>
      <c r="M1" s="129"/>
      <c r="N1" s="129"/>
      <c r="O1" s="129"/>
      <c r="P1" s="129"/>
      <c r="Q1" s="129"/>
      <c r="R1" s="129"/>
      <c r="S1" s="129"/>
      <c r="T1" s="129"/>
      <c r="U1" s="129"/>
      <c r="V1" s="129"/>
      <c r="W1" s="129"/>
    </row>
    <row r="2" spans="1:35" ht="28.5" customHeight="1">
      <c r="A2" s="33" t="str">
        <f>X2</f>
        <v>9 team grade with final</v>
      </c>
      <c r="B2" s="34"/>
      <c r="C2" s="34"/>
      <c r="D2" s="34"/>
      <c r="E2" s="34"/>
      <c r="F2" s="34"/>
      <c r="G2" s="34"/>
      <c r="H2" s="47"/>
      <c r="I2" s="47"/>
      <c r="J2" s="47"/>
      <c r="K2" s="47"/>
      <c r="L2" s="47"/>
      <c r="M2" s="47"/>
      <c r="N2" s="47"/>
      <c r="O2" s="47"/>
      <c r="P2" s="48"/>
      <c r="Q2" s="48"/>
      <c r="R2" s="48"/>
      <c r="S2" s="48"/>
      <c r="T2" s="48"/>
      <c r="U2" s="48"/>
      <c r="V2" s="48"/>
      <c r="W2" s="48"/>
      <c r="X2" s="56" t="s">
        <v>98</v>
      </c>
      <c r="Y2" s="58" t="s">
        <v>99</v>
      </c>
      <c r="Z2" s="58">
        <v>9</v>
      </c>
      <c r="AA2" s="6">
        <v>1</v>
      </c>
      <c r="AB2" s="6">
        <v>3</v>
      </c>
      <c r="AC2" s="6">
        <v>2</v>
      </c>
      <c r="AD2" s="6">
        <v>4</v>
      </c>
      <c r="AE2" s="6">
        <v>6</v>
      </c>
      <c r="AF2" s="6">
        <v>8</v>
      </c>
      <c r="AG2" s="6">
        <v>10</v>
      </c>
      <c r="AH2" s="6">
        <v>12</v>
      </c>
      <c r="AI2" s="6">
        <v>14</v>
      </c>
    </row>
    <row r="3" spans="1:23" ht="28.5" customHeight="1">
      <c r="A3" s="49" t="str">
        <f>Y2</f>
        <v>Shield name</v>
      </c>
      <c r="B3" s="34"/>
      <c r="C3" s="34"/>
      <c r="D3" s="34"/>
      <c r="E3" s="34"/>
      <c r="F3" s="34"/>
      <c r="G3" s="34"/>
      <c r="H3" s="47"/>
      <c r="I3" s="47"/>
      <c r="J3" s="47"/>
      <c r="K3" s="47"/>
      <c r="L3" s="47"/>
      <c r="M3" s="47"/>
      <c r="N3" s="47"/>
      <c r="O3" s="47"/>
      <c r="P3" s="48"/>
      <c r="Q3" s="48"/>
      <c r="R3" s="48"/>
      <c r="S3" s="48"/>
      <c r="T3" s="48"/>
      <c r="U3" s="48"/>
      <c r="V3" s="48"/>
      <c r="W3" s="48"/>
    </row>
    <row r="4" spans="1:23" ht="6.75" customHeight="1">
      <c r="A4" s="49"/>
      <c r="B4" s="34"/>
      <c r="C4" s="34"/>
      <c r="D4" s="34"/>
      <c r="E4" s="34"/>
      <c r="F4" s="34"/>
      <c r="G4" s="34"/>
      <c r="H4" s="47"/>
      <c r="I4" s="47"/>
      <c r="J4" s="47"/>
      <c r="K4" s="47"/>
      <c r="L4" s="47"/>
      <c r="M4" s="47"/>
      <c r="N4" s="47"/>
      <c r="O4" s="47"/>
      <c r="P4" s="48"/>
      <c r="Q4" s="48"/>
      <c r="R4" s="48"/>
      <c r="S4" s="48"/>
      <c r="T4" s="48"/>
      <c r="U4" s="48"/>
      <c r="V4" s="48"/>
      <c r="W4" s="48"/>
    </row>
    <row r="5" spans="1:23" ht="28.5" customHeight="1">
      <c r="A5" s="124" t="s">
        <v>157</v>
      </c>
      <c r="B5" s="124"/>
      <c r="C5" s="124"/>
      <c r="D5" s="124"/>
      <c r="E5" s="124"/>
      <c r="F5" s="124"/>
      <c r="G5" s="124"/>
      <c r="H5" s="124"/>
      <c r="I5" s="124"/>
      <c r="J5" s="124"/>
      <c r="K5" s="124"/>
      <c r="L5" s="124"/>
      <c r="M5" s="124"/>
      <c r="N5" s="124"/>
      <c r="O5" s="124"/>
      <c r="P5" s="124"/>
      <c r="Q5" s="124"/>
      <c r="R5" s="124"/>
      <c r="S5" s="124"/>
      <c r="T5" s="124"/>
      <c r="U5" s="124"/>
      <c r="V5" s="124"/>
      <c r="W5" s="124"/>
    </row>
    <row r="6" spans="1:52" ht="28.5" customHeight="1">
      <c r="A6" s="17"/>
      <c r="B6" s="18" t="s">
        <v>4</v>
      </c>
      <c r="C6" s="18">
        <v>1</v>
      </c>
      <c r="D6" s="18">
        <v>2</v>
      </c>
      <c r="E6" s="18">
        <v>3</v>
      </c>
      <c r="F6" s="18" t="s">
        <v>0</v>
      </c>
      <c r="G6" s="18" t="s">
        <v>1</v>
      </c>
      <c r="H6" s="17"/>
      <c r="I6" s="17"/>
      <c r="J6" s="18" t="s">
        <v>5</v>
      </c>
      <c r="K6" s="18">
        <v>1</v>
      </c>
      <c r="L6" s="18">
        <v>2</v>
      </c>
      <c r="M6" s="18">
        <v>3</v>
      </c>
      <c r="N6" s="18" t="s">
        <v>0</v>
      </c>
      <c r="O6" s="18" t="s">
        <v>1</v>
      </c>
      <c r="Q6" s="17"/>
      <c r="R6" s="18" t="s">
        <v>6</v>
      </c>
      <c r="S6" s="18">
        <v>1</v>
      </c>
      <c r="T6" s="18">
        <v>2</v>
      </c>
      <c r="U6" s="18">
        <v>3</v>
      </c>
      <c r="V6" s="18" t="s">
        <v>0</v>
      </c>
      <c r="W6" s="18" t="s">
        <v>1</v>
      </c>
      <c r="X6" s="55"/>
      <c r="Y6" s="55"/>
      <c r="Z6" s="55"/>
      <c r="AA6" s="55"/>
      <c r="AB6" s="55"/>
      <c r="AC6" s="55"/>
      <c r="AD6" s="55" t="s">
        <v>2</v>
      </c>
      <c r="AE6" s="55">
        <f>INT(Z2/2)</f>
        <v>4</v>
      </c>
      <c r="AF6" s="55"/>
      <c r="AG6" s="55"/>
      <c r="AH6" s="55"/>
      <c r="AI6" s="55"/>
      <c r="AJ6" s="55"/>
      <c r="AK6" s="55"/>
      <c r="AL6" s="55"/>
      <c r="AM6" s="55"/>
      <c r="AN6" s="55"/>
      <c r="AO6" s="55"/>
      <c r="AP6" s="55"/>
      <c r="AQ6" s="55"/>
      <c r="AR6" s="55"/>
      <c r="AS6" s="55"/>
      <c r="AT6" s="55"/>
      <c r="AU6" s="55"/>
      <c r="AV6" s="55"/>
      <c r="AW6" s="55"/>
      <c r="AX6" s="55"/>
      <c r="AY6" s="55"/>
      <c r="AZ6" s="55"/>
    </row>
    <row r="7" spans="1:52" ht="28.5" customHeight="1">
      <c r="A7" s="18">
        <v>1</v>
      </c>
      <c r="B7" s="19" t="str">
        <f>CONCATENATE(VLOOKUP(X7,clubs,2,)," ",Y7)</f>
        <v>Auckland </v>
      </c>
      <c r="C7" s="20"/>
      <c r="D7" s="3"/>
      <c r="E7" s="3"/>
      <c r="F7" s="7">
        <f>IF(COUNT(AD7:AF7)&gt;0,SUM(AP7:AR7),"")</f>
      </c>
      <c r="G7" s="7">
        <f>IF(COUNT(F7:F7)&gt;0,IF(SUM(F$7:F$9)&gt;0,RANK(F7,F$7:F$9,0),""),"")</f>
      </c>
      <c r="H7" s="17"/>
      <c r="I7" s="18">
        <v>1</v>
      </c>
      <c r="J7" s="19" t="str">
        <f>CONCATENATE(VLOOKUP(Z7,clubs,2,)," ",AA7)</f>
        <v>Canterbury </v>
      </c>
      <c r="K7" s="20"/>
      <c r="L7" s="3"/>
      <c r="M7" s="3"/>
      <c r="N7" s="7">
        <f>IF(COUNT(AH7:AJ7)&gt;0,SUM(AT7:AV7),"")</f>
      </c>
      <c r="O7" s="7">
        <f>IF(COUNT(N7:N7)&gt;0,IF(SUM(N$7:N$9)&gt;0,RANK(N7,N$7:N$9,0),""),"")</f>
      </c>
      <c r="Q7" s="18">
        <v>1</v>
      </c>
      <c r="R7" s="19" t="str">
        <f>CONCATENATE(VLOOKUP(AB7,clubs,2,)," ",AC7)</f>
        <v>Wellington 1</v>
      </c>
      <c r="S7" s="20"/>
      <c r="T7" s="3"/>
      <c r="U7" s="3"/>
      <c r="V7" s="7">
        <f>IF(COUNT(AL7:AN7)&gt;0,SUM(AX7:AZ7),"")</f>
      </c>
      <c r="W7" s="7">
        <f>IF(COUNT(V7:V7)&gt;0,IF(SUM(V$7:V$9)&gt;0,RANK(V7,V$7:V$9,0),""),"")</f>
      </c>
      <c r="X7" s="55" t="s">
        <v>175</v>
      </c>
      <c r="Y7" s="55"/>
      <c r="Z7" s="55" t="s">
        <v>176</v>
      </c>
      <c r="AA7" s="55"/>
      <c r="AB7" s="55" t="s">
        <v>182</v>
      </c>
      <c r="AC7" s="55">
        <v>1</v>
      </c>
      <c r="AD7" s="21">
        <f aca="true" t="shared" si="0" ref="AD7:AF9">IF(C7="","",VALUE(LEFT(C7)))</f>
      </c>
      <c r="AE7" s="21">
        <f t="shared" si="0"/>
      </c>
      <c r="AF7" s="21">
        <f t="shared" si="0"/>
      </c>
      <c r="AG7" s="55"/>
      <c r="AH7" s="21">
        <f aca="true" t="shared" si="1" ref="AH7:AJ9">IF(K7="","",VALUE(LEFT(K7)))</f>
      </c>
      <c r="AI7" s="21">
        <f t="shared" si="1"/>
      </c>
      <c r="AJ7" s="21">
        <f t="shared" si="1"/>
      </c>
      <c r="AK7" s="55"/>
      <c r="AL7" s="21">
        <f aca="true" t="shared" si="2" ref="AL7:AN9">IF(S7="","",VALUE(LEFT(S7)))</f>
      </c>
      <c r="AM7" s="21">
        <f t="shared" si="2"/>
      </c>
      <c r="AN7" s="21">
        <f t="shared" si="2"/>
      </c>
      <c r="AO7" s="55"/>
      <c r="AP7" s="55">
        <f aca="true" t="shared" si="3" ref="AP7:AR9">IF(C7="","",IF(AD7&gt;$AE$6,1,""))</f>
      </c>
      <c r="AQ7" s="55">
        <f t="shared" si="3"/>
      </c>
      <c r="AR7" s="55">
        <f t="shared" si="3"/>
      </c>
      <c r="AS7" s="55"/>
      <c r="AT7" s="55">
        <f aca="true" t="shared" si="4" ref="AT7:AV9">IF(K7="","",IF(AH7&gt;$AE$6,1,""))</f>
      </c>
      <c r="AU7" s="55">
        <f t="shared" si="4"/>
      </c>
      <c r="AV7" s="55">
        <f t="shared" si="4"/>
      </c>
      <c r="AW7" s="55"/>
      <c r="AX7" s="55">
        <f aca="true" t="shared" si="5" ref="AX7:AZ9">IF(S7="","",IF(AL7&gt;$AE$6,1,""))</f>
      </c>
      <c r="AY7" s="55">
        <f t="shared" si="5"/>
      </c>
      <c r="AZ7" s="55">
        <f t="shared" si="5"/>
      </c>
    </row>
    <row r="8" spans="1:52" ht="28.5" customHeight="1">
      <c r="A8" s="18">
        <v>2</v>
      </c>
      <c r="B8" s="19" t="str">
        <f>CONCATENATE(VLOOKUP(X8,clubs,2,)," ",Y8)</f>
        <v>Waikato </v>
      </c>
      <c r="C8" s="16">
        <f>IF(ISBLANK(D7),"",CONCATENATE(RIGHT(D7),"-",LEFT(D7)))</f>
      </c>
      <c r="D8" s="20"/>
      <c r="E8" s="3"/>
      <c r="F8" s="7">
        <f>IF(COUNT(AD8:AF8)&gt;0,SUM(AP8:AR8),"")</f>
      </c>
      <c r="G8" s="7">
        <f>IF(COUNT(F8:F8)&gt;0,IF(SUM(F$7:F$9)&gt;0,RANK(F8,F$7:F$9,0),""),"")</f>
      </c>
      <c r="H8" s="17"/>
      <c r="I8" s="18">
        <v>2</v>
      </c>
      <c r="J8" s="19" t="str">
        <f>CONCATENATE(VLOOKUP(Z8,clubs,2,)," ",AA8)</f>
        <v>Manawatu 2</v>
      </c>
      <c r="K8" s="16">
        <f>IF(ISBLANK(L7),"",CONCATENATE(RIGHT(L7),"-",LEFT(L7)))</f>
      </c>
      <c r="L8" s="20"/>
      <c r="M8" s="3"/>
      <c r="N8" s="7">
        <f>IF(COUNT(AH8:AJ8)&gt;0,SUM(AT8:AV8),"")</f>
      </c>
      <c r="O8" s="7">
        <f>IF(COUNT(N8:N8)&gt;0,IF(SUM(N$7:N$9)&gt;0,RANK(N8,N$7:N$9,0),""),"")</f>
      </c>
      <c r="Q8" s="18">
        <v>2</v>
      </c>
      <c r="R8" s="19" t="str">
        <f>CONCATENATE(VLOOKUP(AB8,clubs,2,)," ",AC8)</f>
        <v>Waitemata </v>
      </c>
      <c r="S8" s="16">
        <f>IF(ISBLANK(T7),"",CONCATENATE(RIGHT(T7),"-",LEFT(T7)))</f>
      </c>
      <c r="T8" s="20"/>
      <c r="U8" s="3"/>
      <c r="V8" s="7">
        <f>IF(COUNT(AL8:AN8)&gt;0,SUM(AX8:AZ8),"")</f>
      </c>
      <c r="W8" s="7">
        <f>IF(COUNT(V8:V8)&gt;0,IF(SUM(V$7:V$9)&gt;0,RANK(V8,V$7:V$9,0),""),"")</f>
      </c>
      <c r="X8" s="55" t="s">
        <v>183</v>
      </c>
      <c r="Y8" s="55"/>
      <c r="Z8" s="55" t="s">
        <v>177</v>
      </c>
      <c r="AA8" s="55">
        <v>2</v>
      </c>
      <c r="AB8" s="55" t="s">
        <v>184</v>
      </c>
      <c r="AC8" s="55"/>
      <c r="AD8" s="21">
        <f t="shared" si="0"/>
      </c>
      <c r="AE8" s="21">
        <f t="shared" si="0"/>
      </c>
      <c r="AF8" s="21">
        <f t="shared" si="0"/>
      </c>
      <c r="AG8" s="55"/>
      <c r="AH8" s="21">
        <f t="shared" si="1"/>
      </c>
      <c r="AI8" s="21">
        <f t="shared" si="1"/>
      </c>
      <c r="AJ8" s="21">
        <f t="shared" si="1"/>
      </c>
      <c r="AK8" s="55"/>
      <c r="AL8" s="21">
        <f t="shared" si="2"/>
      </c>
      <c r="AM8" s="21">
        <f t="shared" si="2"/>
      </c>
      <c r="AN8" s="21">
        <f t="shared" si="2"/>
      </c>
      <c r="AO8" s="55"/>
      <c r="AP8" s="55">
        <f t="shared" si="3"/>
      </c>
      <c r="AQ8" s="55">
        <f t="shared" si="3"/>
      </c>
      <c r="AR8" s="55">
        <f t="shared" si="3"/>
      </c>
      <c r="AS8" s="55"/>
      <c r="AT8" s="55">
        <f t="shared" si="4"/>
      </c>
      <c r="AU8" s="55">
        <f t="shared" si="4"/>
      </c>
      <c r="AV8" s="55">
        <f t="shared" si="4"/>
      </c>
      <c r="AW8" s="55"/>
      <c r="AX8" s="55">
        <f t="shared" si="5"/>
      </c>
      <c r="AY8" s="55">
        <f t="shared" si="5"/>
      </c>
      <c r="AZ8" s="55">
        <f t="shared" si="5"/>
      </c>
    </row>
    <row r="9" spans="1:52" ht="28.5" customHeight="1">
      <c r="A9" s="18">
        <v>3</v>
      </c>
      <c r="B9" s="19" t="str">
        <f>CONCATENATE(VLOOKUP(X9,clubs,2,)," ",Y9)</f>
        <v>Cook Islands 3</v>
      </c>
      <c r="C9" s="16">
        <f>IF(ISBLANK(E7),"",CONCATENATE(RIGHT(E7),"-",LEFT(E7)))</f>
      </c>
      <c r="D9" s="16">
        <f>IF(ISBLANK(E8),"",CONCATENATE(RIGHT(E8),"-",LEFT(E8)))</f>
      </c>
      <c r="E9" s="20"/>
      <c r="F9" s="7">
        <f>IF(COUNT(AD9:AF9)&gt;0,SUM(AP9:AR9),"")</f>
      </c>
      <c r="G9" s="7">
        <f>IF(COUNT(F9:F9)&gt;0,IF(SUM(F$7:F$9)&gt;0,RANK(F9,F$7:F$9,0),""),"")</f>
      </c>
      <c r="H9" s="17"/>
      <c r="I9" s="18">
        <v>3</v>
      </c>
      <c r="J9" s="19" t="str">
        <f>CONCATENATE(VLOOKUP(Z9,clubs,2,)," ",AA9)</f>
        <v>Northland </v>
      </c>
      <c r="K9" s="16">
        <f>IF(ISBLANK(M7),"",CONCATENATE(RIGHT(M7),"-",LEFT(M7)))</f>
      </c>
      <c r="L9" s="16">
        <f>IF(ISBLANK(M8),"",CONCATENATE(RIGHT(M8),"-",LEFT(M8)))</f>
      </c>
      <c r="M9" s="20"/>
      <c r="N9" s="7">
        <f>IF(COUNT(AH9:AJ9)&gt;0,SUM(AT9:AV9),"")</f>
      </c>
      <c r="O9" s="7">
        <f>IF(COUNT(N9:N9)&gt;0,IF(SUM(N$7:N$9)&gt;0,RANK(N9,N$7:N$9,0),""),"")</f>
      </c>
      <c r="Q9" s="18">
        <v>3</v>
      </c>
      <c r="R9" s="19" t="str">
        <f>CONCATENATE(VLOOKUP(AB9,clubs,2,)," ",AC9)</f>
        <v>North Harbour </v>
      </c>
      <c r="S9" s="16">
        <f>IF(ISBLANK(U7),"",CONCATENATE(RIGHT(U7),"-",LEFT(U7)))</f>
      </c>
      <c r="T9" s="16">
        <f>IF(ISBLANK(U8),"",CONCATENATE(RIGHT(U8),"-",LEFT(U8)))</f>
      </c>
      <c r="U9" s="20"/>
      <c r="V9" s="7">
        <f>IF(COUNT(AL9:AN9)&gt;0,SUM(AX9:AZ9),"")</f>
      </c>
      <c r="W9" s="7">
        <f>IF(COUNT(V9:V9)&gt;0,IF(SUM(V$7:V$9)&gt;0,RANK(V9,V$7:V$9,0),""),"")</f>
      </c>
      <c r="X9" s="55" t="s">
        <v>188</v>
      </c>
      <c r="Y9" s="55">
        <v>3</v>
      </c>
      <c r="Z9" s="55" t="s">
        <v>179</v>
      </c>
      <c r="AA9" s="55"/>
      <c r="AB9" s="55" t="s">
        <v>178</v>
      </c>
      <c r="AC9" s="55"/>
      <c r="AD9" s="21">
        <f t="shared" si="0"/>
      </c>
      <c r="AE9" s="21">
        <f t="shared" si="0"/>
      </c>
      <c r="AF9" s="21">
        <f t="shared" si="0"/>
      </c>
      <c r="AG9" s="55"/>
      <c r="AH9" s="21">
        <f t="shared" si="1"/>
      </c>
      <c r="AI9" s="21">
        <f t="shared" si="1"/>
      </c>
      <c r="AJ9" s="21">
        <f t="shared" si="1"/>
      </c>
      <c r="AK9" s="55"/>
      <c r="AL9" s="21">
        <f t="shared" si="2"/>
      </c>
      <c r="AM9" s="21">
        <f t="shared" si="2"/>
      </c>
      <c r="AN9" s="21">
        <f t="shared" si="2"/>
      </c>
      <c r="AO9" s="55"/>
      <c r="AP9" s="55">
        <f t="shared" si="3"/>
      </c>
      <c r="AQ9" s="55">
        <f t="shared" si="3"/>
      </c>
      <c r="AR9" s="55">
        <f t="shared" si="3"/>
      </c>
      <c r="AS9" s="55"/>
      <c r="AT9" s="55">
        <f t="shared" si="4"/>
      </c>
      <c r="AU9" s="55">
        <f t="shared" si="4"/>
      </c>
      <c r="AV9" s="55">
        <f t="shared" si="4"/>
      </c>
      <c r="AW9" s="55"/>
      <c r="AX9" s="55">
        <f t="shared" si="5"/>
      </c>
      <c r="AY9" s="55">
        <f t="shared" si="5"/>
      </c>
      <c r="AZ9" s="55">
        <f t="shared" si="5"/>
      </c>
    </row>
    <row r="10" spans="1:15" ht="13.5" customHeight="1">
      <c r="A10" s="23"/>
      <c r="B10" s="24"/>
      <c r="C10" s="17"/>
      <c r="D10" s="17"/>
      <c r="E10" s="17"/>
      <c r="F10" s="17"/>
      <c r="G10" s="17"/>
      <c r="H10" s="17"/>
      <c r="I10" s="23"/>
      <c r="J10" s="24"/>
      <c r="K10" s="17"/>
      <c r="L10" s="17"/>
      <c r="M10" s="17"/>
      <c r="N10" s="17"/>
      <c r="O10" s="17"/>
    </row>
    <row r="11" spans="1:27" ht="28.5" customHeight="1">
      <c r="A11" s="23"/>
      <c r="B11" s="24"/>
      <c r="C11" s="17"/>
      <c r="D11" s="17"/>
      <c r="E11" s="17"/>
      <c r="F11" s="17"/>
      <c r="G11" s="17"/>
      <c r="H11" s="17"/>
      <c r="I11" s="23"/>
      <c r="J11" s="125" t="s">
        <v>9</v>
      </c>
      <c r="K11" s="126"/>
      <c r="L11" s="114" t="str">
        <f>CONCATENATE("Table ",X11)</f>
        <v>Table 1</v>
      </c>
      <c r="M11" s="115"/>
      <c r="N11" s="28" t="str">
        <f>CONCATENATE("Table ",Z11)</f>
        <v>Table 2</v>
      </c>
      <c r="O11" s="28" t="str">
        <f>CONCATENATE("Table ",AA11)</f>
        <v>Table 3</v>
      </c>
      <c r="X11" s="6">
        <f>AA2</f>
        <v>1</v>
      </c>
      <c r="Z11" s="6">
        <f>X11+1</f>
        <v>2</v>
      </c>
      <c r="AA11" s="6">
        <f>Z11+1</f>
        <v>3</v>
      </c>
    </row>
    <row r="12" spans="1:25" ht="28.5" customHeight="1">
      <c r="A12" s="23"/>
      <c r="B12" s="24"/>
      <c r="C12" s="17"/>
      <c r="D12" s="17"/>
      <c r="E12" s="17"/>
      <c r="F12" s="17"/>
      <c r="G12" s="17"/>
      <c r="H12" s="17"/>
      <c r="I12" s="23"/>
      <c r="J12" s="125" t="str">
        <f>CONCATENATE(VLOOKUP(Y12,times,2,),Z12)</f>
        <v>TH-1130</v>
      </c>
      <c r="K12" s="126" t="e">
        <f>CONCATENATE(VLOOKUP(AB12,times,2,),AC12)</f>
        <v>#N/A</v>
      </c>
      <c r="L12" s="127" t="s">
        <v>54</v>
      </c>
      <c r="M12" s="128"/>
      <c r="N12" s="29" t="s">
        <v>72</v>
      </c>
      <c r="O12" s="29" t="s">
        <v>43</v>
      </c>
      <c r="Y12" s="6">
        <f>AC2</f>
        <v>2</v>
      </c>
    </row>
    <row r="13" spans="1:25" ht="28.5" customHeight="1">
      <c r="A13" s="23"/>
      <c r="B13" s="24"/>
      <c r="C13" s="17"/>
      <c r="D13" s="17"/>
      <c r="E13" s="17"/>
      <c r="F13" s="17"/>
      <c r="G13" s="17"/>
      <c r="H13" s="17"/>
      <c r="I13" s="23"/>
      <c r="J13" s="125" t="str">
        <f>CONCATENATE(VLOOKUP(Y13,times,2,),Z13)</f>
        <v>TH-1630</v>
      </c>
      <c r="K13" s="126" t="e">
        <f>CONCATENATE(VLOOKUP(AB13,times,2,),AC13)</f>
        <v>#N/A</v>
      </c>
      <c r="L13" s="127" t="s">
        <v>51</v>
      </c>
      <c r="M13" s="128"/>
      <c r="N13" s="29" t="s">
        <v>49</v>
      </c>
      <c r="O13" s="29" t="s">
        <v>73</v>
      </c>
      <c r="Y13" s="6">
        <f>AD2</f>
        <v>4</v>
      </c>
    </row>
    <row r="14" spans="1:25" ht="28.5" customHeight="1">
      <c r="A14" s="23"/>
      <c r="B14" s="24"/>
      <c r="C14" s="17"/>
      <c r="D14" s="17"/>
      <c r="E14" s="17"/>
      <c r="F14" s="17"/>
      <c r="G14" s="17"/>
      <c r="H14" s="17"/>
      <c r="I14" s="23"/>
      <c r="J14" s="125" t="str">
        <f>CONCATENATE(VLOOKUP(Y14,times,2,),Z14)</f>
        <v>TH-1930</v>
      </c>
      <c r="K14" s="126" t="e">
        <f>CONCATENATE(VLOOKUP(AB14,times,2,),AC14)</f>
        <v>#N/A</v>
      </c>
      <c r="L14" s="127" t="s">
        <v>71</v>
      </c>
      <c r="M14" s="128"/>
      <c r="N14" s="29" t="s">
        <v>47</v>
      </c>
      <c r="O14" s="29" t="s">
        <v>45</v>
      </c>
      <c r="Y14" s="6">
        <f>AE2</f>
        <v>6</v>
      </c>
    </row>
    <row r="15" spans="1:15" ht="6.75" customHeight="1">
      <c r="A15" s="23"/>
      <c r="B15" s="24"/>
      <c r="C15" s="17"/>
      <c r="D15" s="17"/>
      <c r="E15" s="17"/>
      <c r="F15" s="17"/>
      <c r="G15" s="17"/>
      <c r="H15" s="17"/>
      <c r="I15" s="23"/>
      <c r="J15" s="24"/>
      <c r="K15" s="17"/>
      <c r="L15" s="17"/>
      <c r="M15" s="17"/>
      <c r="N15" s="17"/>
      <c r="O15" s="17"/>
    </row>
    <row r="16" spans="1:23" ht="28.5" customHeight="1">
      <c r="A16" s="124" t="s">
        <v>158</v>
      </c>
      <c r="B16" s="124"/>
      <c r="C16" s="124"/>
      <c r="D16" s="124"/>
      <c r="E16" s="124"/>
      <c r="F16" s="124"/>
      <c r="G16" s="124"/>
      <c r="H16" s="124"/>
      <c r="I16" s="124"/>
      <c r="J16" s="124"/>
      <c r="K16" s="124"/>
      <c r="L16" s="124"/>
      <c r="M16" s="124"/>
      <c r="N16" s="124"/>
      <c r="O16" s="124"/>
      <c r="P16" s="124"/>
      <c r="Q16" s="124"/>
      <c r="R16" s="124"/>
      <c r="S16" s="124"/>
      <c r="T16" s="124"/>
      <c r="U16" s="124"/>
      <c r="V16" s="124"/>
      <c r="W16" s="124"/>
    </row>
    <row r="17" spans="1:23" ht="28.5" customHeight="1">
      <c r="A17" s="17"/>
      <c r="B17" s="50" t="s">
        <v>74</v>
      </c>
      <c r="C17" s="18">
        <v>1</v>
      </c>
      <c r="D17" s="18">
        <v>2</v>
      </c>
      <c r="E17" s="18">
        <v>3</v>
      </c>
      <c r="F17" s="18" t="s">
        <v>0</v>
      </c>
      <c r="G17" s="50" t="s">
        <v>1</v>
      </c>
      <c r="H17" s="17"/>
      <c r="I17" s="17"/>
      <c r="J17" s="50" t="s">
        <v>75</v>
      </c>
      <c r="K17" s="18">
        <v>1</v>
      </c>
      <c r="L17" s="18">
        <v>2</v>
      </c>
      <c r="M17" s="18">
        <v>3</v>
      </c>
      <c r="N17" s="18" t="s">
        <v>0</v>
      </c>
      <c r="O17" s="50" t="s">
        <v>1</v>
      </c>
      <c r="Q17" s="17"/>
      <c r="R17" s="50" t="s">
        <v>76</v>
      </c>
      <c r="S17" s="18">
        <v>1</v>
      </c>
      <c r="T17" s="18">
        <v>2</v>
      </c>
      <c r="U17" s="18">
        <v>3</v>
      </c>
      <c r="V17" s="18" t="s">
        <v>0</v>
      </c>
      <c r="W17" s="50" t="s">
        <v>1</v>
      </c>
    </row>
    <row r="18" spans="1:52" ht="28.5" customHeight="1">
      <c r="A18" s="18" t="s">
        <v>56</v>
      </c>
      <c r="B18" s="5">
        <f>IF(SUM($F$7:$F$9)=3,INDEX($B$7:$B$9,MATCH(1,$G$7:$G$9,0)),"")</f>
      </c>
      <c r="C18" s="20"/>
      <c r="D18" s="3"/>
      <c r="E18" s="3"/>
      <c r="F18" s="7">
        <f>IF(COUNT(AD18:AF18)&gt;0,SUM(AP18:AR18),"")</f>
      </c>
      <c r="G18" s="7">
        <f>IF(COUNT(F18:F18)&gt;0,IF(SUM(F$18:F$20)&gt;0,RANK(F18,F$18:F$20,0),""),"")</f>
      </c>
      <c r="H18" s="17"/>
      <c r="I18" s="18" t="s">
        <v>78</v>
      </c>
      <c r="J18" s="4">
        <f>IF(SUM($V$7:$V$9)=3,INDEX($R$7:$R$9,MATCH(2,$W$7:$W$9,0)),"")</f>
      </c>
      <c r="K18" s="20"/>
      <c r="L18" s="3"/>
      <c r="M18" s="3"/>
      <c r="N18" s="7">
        <f>IF(COUNT(AH18:AJ18)&gt;0,SUM(AT18:AV18),"")</f>
      </c>
      <c r="O18" s="7">
        <f>IF(COUNT(N18:N18)&gt;0,IF(SUM(N$18:N$20)&gt;0,3+RANK(N18,N$18:N$20,0),""),"")</f>
      </c>
      <c r="Q18" s="18" t="s">
        <v>60</v>
      </c>
      <c r="R18" s="4">
        <f>IF(SUM($F$7:$F$9)=3,INDEX($B$7:$B$9,MATCH(3,$G$7:$G$9,0)),"")</f>
      </c>
      <c r="S18" s="20"/>
      <c r="T18" s="3"/>
      <c r="U18" s="3"/>
      <c r="V18" s="7">
        <f>IF(COUNT(AL18:AN18)&gt;0,SUM(AX18:AZ18),"")</f>
      </c>
      <c r="W18" s="7">
        <f>IF(COUNT(V18:V18)&gt;0,IF(SUM(V$18:V$20)&gt;0,6+RANK(V18,V$18:V$20,0),""),"")</f>
      </c>
      <c r="AD18" s="21">
        <f aca="true" t="shared" si="6" ref="AD18:AF20">IF(C18="","",VALUE(LEFT(C18)))</f>
      </c>
      <c r="AE18" s="21">
        <f t="shared" si="6"/>
      </c>
      <c r="AF18" s="21">
        <f t="shared" si="6"/>
      </c>
      <c r="AG18" s="55"/>
      <c r="AH18" s="21">
        <f aca="true" t="shared" si="7" ref="AH18:AJ20">IF(K18="","",VALUE(LEFT(K18)))</f>
      </c>
      <c r="AI18" s="21">
        <f t="shared" si="7"/>
      </c>
      <c r="AJ18" s="21">
        <f t="shared" si="7"/>
      </c>
      <c r="AK18" s="55"/>
      <c r="AL18" s="21">
        <f aca="true" t="shared" si="8" ref="AL18:AN20">IF(S18="","",VALUE(LEFT(S18)))</f>
      </c>
      <c r="AM18" s="21">
        <f t="shared" si="8"/>
      </c>
      <c r="AN18" s="21">
        <f t="shared" si="8"/>
      </c>
      <c r="AO18" s="55"/>
      <c r="AP18" s="55">
        <f aca="true" t="shared" si="9" ref="AP18:AR20">IF(C18="","",IF(AD18&gt;$AE$6,1,""))</f>
      </c>
      <c r="AQ18" s="55">
        <f t="shared" si="9"/>
      </c>
      <c r="AR18" s="55">
        <f t="shared" si="9"/>
      </c>
      <c r="AS18" s="55"/>
      <c r="AT18" s="55">
        <f aca="true" t="shared" si="10" ref="AT18:AV20">IF(K18="","",IF(AH18&gt;$AE$6,1,""))</f>
      </c>
      <c r="AU18" s="55">
        <f t="shared" si="10"/>
      </c>
      <c r="AV18" s="55">
        <f t="shared" si="10"/>
      </c>
      <c r="AW18" s="55"/>
      <c r="AX18" s="55">
        <f aca="true" t="shared" si="11" ref="AX18:AZ20">IF(S18="","",IF(AL18&gt;$AE$6,1,""))</f>
      </c>
      <c r="AY18" s="55">
        <f t="shared" si="11"/>
      </c>
      <c r="AZ18" s="55">
        <f t="shared" si="11"/>
      </c>
    </row>
    <row r="19" spans="1:52" ht="28.5" customHeight="1">
      <c r="A19" s="18" t="s">
        <v>57</v>
      </c>
      <c r="B19" s="4">
        <f>IF(SUM($N$7:$N$9)=3,INDEX($J$7:$J$9,MATCH(1,$O$7:$O$9,0)),"")</f>
      </c>
      <c r="C19" s="16">
        <f>IF(ISBLANK(D18),"",CONCATENATE(RIGHT(D18),"-",LEFT(D18)))</f>
      </c>
      <c r="D19" s="20"/>
      <c r="E19" s="3"/>
      <c r="F19" s="7">
        <f>IF(COUNT(AD19:AF19)&gt;0,SUM(AP19:AR19),"")</f>
      </c>
      <c r="G19" s="7">
        <f>IF(COUNT(F19:F19)&gt;0,IF(SUM(F$18:F$20)&gt;0,RANK(F19,F$18:F$20,0),""),"")</f>
      </c>
      <c r="H19" s="17"/>
      <c r="I19" s="18" t="s">
        <v>58</v>
      </c>
      <c r="J19" s="4">
        <f>IF(SUM($N$7:$N$9)=3,INDEX($J$7:$J$9,MATCH(2,$O$7:$O$9,0)),"")</f>
      </c>
      <c r="K19" s="16">
        <f>IF(ISBLANK(L18),"",CONCATENATE(RIGHT(L18),"-",LEFT(L18)))</f>
      </c>
      <c r="L19" s="20"/>
      <c r="M19" s="3"/>
      <c r="N19" s="7">
        <f>IF(COUNT(AH19:AJ19)&gt;0,SUM(AT19:AV19),"")</f>
      </c>
      <c r="O19" s="7">
        <f>IF(COUNT(N19:N19)&gt;0,IF(SUM(N$18:N$20)&gt;0,3+RANK(N19,N$18:N$20,0),""),"")</f>
      </c>
      <c r="Q19" s="18" t="s">
        <v>61</v>
      </c>
      <c r="R19" s="4">
        <f>IF(SUM($N$7:$N$9)=3,INDEX($J$7:$J$9,MATCH(3,$O$7:$O$9,0)),"")</f>
      </c>
      <c r="S19" s="16">
        <f>IF(ISBLANK(T18),"",CONCATENATE(RIGHT(T18),"-",LEFT(T18)))</f>
      </c>
      <c r="T19" s="20"/>
      <c r="U19" s="3"/>
      <c r="V19" s="7">
        <f>IF(COUNT(AL19:AN19)&gt;0,SUM(AX19:AZ19),"")</f>
      </c>
      <c r="W19" s="7">
        <f>IF(COUNT(V19:V19)&gt;0,IF(SUM(V$18:V$20)&gt;0,6+RANK(V19,V$18:V$20,0),""),"")</f>
      </c>
      <c r="AD19" s="21">
        <f t="shared" si="6"/>
      </c>
      <c r="AE19" s="21">
        <f t="shared" si="6"/>
      </c>
      <c r="AF19" s="21">
        <f t="shared" si="6"/>
      </c>
      <c r="AG19" s="55"/>
      <c r="AH19" s="21">
        <f t="shared" si="7"/>
      </c>
      <c r="AI19" s="21">
        <f t="shared" si="7"/>
      </c>
      <c r="AJ19" s="21">
        <f t="shared" si="7"/>
      </c>
      <c r="AK19" s="55"/>
      <c r="AL19" s="21">
        <f t="shared" si="8"/>
      </c>
      <c r="AM19" s="21">
        <f t="shared" si="8"/>
      </c>
      <c r="AN19" s="21">
        <f t="shared" si="8"/>
      </c>
      <c r="AO19" s="55"/>
      <c r="AP19" s="55">
        <f t="shared" si="9"/>
      </c>
      <c r="AQ19" s="55">
        <f t="shared" si="9"/>
      </c>
      <c r="AR19" s="55">
        <f t="shared" si="9"/>
      </c>
      <c r="AS19" s="55"/>
      <c r="AT19" s="55">
        <f t="shared" si="10"/>
      </c>
      <c r="AU19" s="55">
        <f t="shared" si="10"/>
      </c>
      <c r="AV19" s="55">
        <f t="shared" si="10"/>
      </c>
      <c r="AW19" s="55"/>
      <c r="AX19" s="55">
        <f t="shared" si="11"/>
      </c>
      <c r="AY19" s="55">
        <f t="shared" si="11"/>
      </c>
      <c r="AZ19" s="55">
        <f t="shared" si="11"/>
      </c>
    </row>
    <row r="20" spans="1:52" ht="28.5" customHeight="1">
      <c r="A20" s="18" t="s">
        <v>77</v>
      </c>
      <c r="B20" s="4">
        <f>IF(SUM($V$7:$V$9)=3,INDEX($R$7:$R$9,MATCH(1,$W$7:$W$9,0)),"")</f>
      </c>
      <c r="C20" s="16">
        <f>IF(ISBLANK(E18),"",CONCATENATE(RIGHT(E18),"-",LEFT(E18)))</f>
      </c>
      <c r="D20" s="16">
        <f>IF(ISBLANK(E19),"",CONCATENATE(RIGHT(E19),"-",LEFT(E19)))</f>
      </c>
      <c r="E20" s="20"/>
      <c r="F20" s="7">
        <f>IF(COUNT(AD20:AF20)&gt;0,SUM(AP20:AR20),"")</f>
      </c>
      <c r="G20" s="7">
        <f>IF(COUNT(F20:F20)&gt;0,IF(SUM(F$18:F$20)&gt;0,RANK(F20,F$18:F$20,0),""),"")</f>
      </c>
      <c r="H20" s="17"/>
      <c r="I20" s="18" t="s">
        <v>59</v>
      </c>
      <c r="J20" s="4">
        <f>IF(SUM($F$7:$F$9)=3,INDEX($B$7:$B$9,MATCH(2,$G$7:$G$9,0)),"")</f>
      </c>
      <c r="K20" s="16">
        <f>IF(ISBLANK(M18),"",CONCATENATE(RIGHT(M18),"-",LEFT(M18)))</f>
      </c>
      <c r="L20" s="16">
        <f>IF(ISBLANK(M19),"",CONCATENATE(RIGHT(M19),"-",LEFT(M19)))</f>
      </c>
      <c r="M20" s="20"/>
      <c r="N20" s="7">
        <f>IF(COUNT(AH20:AJ20)&gt;0,SUM(AT20:AV20),"")</f>
      </c>
      <c r="O20" s="7">
        <f>IF(COUNT(N20:N20)&gt;0,IF(SUM(N$18:N$20)&gt;0,3+RANK(N20,N$18:N$20,0),""),"")</f>
      </c>
      <c r="Q20" s="18" t="s">
        <v>79</v>
      </c>
      <c r="R20" s="4">
        <f>IF(SUM($V$7:$V$9)=3,INDEX($R$7:$R$9,MATCH(3,$W$7:$W$9,0)),"")</f>
      </c>
      <c r="S20" s="16">
        <f>IF(ISBLANK(U18),"",CONCATENATE(RIGHT(U18),"-",LEFT(U18)))</f>
      </c>
      <c r="T20" s="16">
        <f>IF(ISBLANK(U19),"",CONCATENATE(RIGHT(U19),"-",LEFT(U19)))</f>
      </c>
      <c r="U20" s="20"/>
      <c r="V20" s="7">
        <f>IF(COUNT(AL20:AN20)&gt;0,SUM(AX20:AZ20),"")</f>
      </c>
      <c r="W20" s="7">
        <f>IF(COUNT(V20:V20)&gt;0,IF(SUM(V$18:V$20)&gt;0,6+RANK(V20,V$18:V$20,0),""),"")</f>
      </c>
      <c r="AD20" s="21">
        <f t="shared" si="6"/>
      </c>
      <c r="AE20" s="21">
        <f t="shared" si="6"/>
      </c>
      <c r="AF20" s="21">
        <f t="shared" si="6"/>
      </c>
      <c r="AG20" s="55"/>
      <c r="AH20" s="21">
        <f t="shared" si="7"/>
      </c>
      <c r="AI20" s="21">
        <f t="shared" si="7"/>
      </c>
      <c r="AJ20" s="21">
        <f t="shared" si="7"/>
      </c>
      <c r="AK20" s="55"/>
      <c r="AL20" s="21">
        <f t="shared" si="8"/>
      </c>
      <c r="AM20" s="21">
        <f t="shared" si="8"/>
      </c>
      <c r="AN20" s="21">
        <f t="shared" si="8"/>
      </c>
      <c r="AO20" s="55"/>
      <c r="AP20" s="55">
        <f t="shared" si="9"/>
      </c>
      <c r="AQ20" s="55">
        <f t="shared" si="9"/>
      </c>
      <c r="AR20" s="55">
        <f t="shared" si="9"/>
      </c>
      <c r="AS20" s="55"/>
      <c r="AT20" s="55">
        <f t="shared" si="10"/>
      </c>
      <c r="AU20" s="55">
        <f t="shared" si="10"/>
      </c>
      <c r="AV20" s="55">
        <f t="shared" si="10"/>
      </c>
      <c r="AW20" s="55"/>
      <c r="AX20" s="55">
        <f t="shared" si="11"/>
      </c>
      <c r="AY20" s="55">
        <f t="shared" si="11"/>
      </c>
      <c r="AZ20" s="55">
        <f t="shared" si="11"/>
      </c>
    </row>
    <row r="21" spans="1:23" ht="13.5" customHeight="1">
      <c r="A21" s="23"/>
      <c r="B21" s="24"/>
      <c r="C21" s="17"/>
      <c r="D21" s="17"/>
      <c r="F21" s="17"/>
      <c r="G21" s="17"/>
      <c r="H21" s="17"/>
      <c r="I21" s="23"/>
      <c r="J21" s="24"/>
      <c r="K21" s="17"/>
      <c r="L21" s="17"/>
      <c r="N21" s="17"/>
      <c r="O21" s="17"/>
      <c r="Q21" s="23"/>
      <c r="R21" s="24"/>
      <c r="S21" s="17"/>
      <c r="T21" s="17"/>
      <c r="V21" s="17"/>
      <c r="W21" s="17"/>
    </row>
    <row r="22" spans="1:27" ht="28.5" customHeight="1">
      <c r="A22" s="23"/>
      <c r="B22" s="24"/>
      <c r="C22" s="17"/>
      <c r="D22" s="17"/>
      <c r="E22" s="17"/>
      <c r="F22" s="17"/>
      <c r="G22" s="17"/>
      <c r="H22" s="17"/>
      <c r="I22" s="23"/>
      <c r="J22" s="125" t="s">
        <v>9</v>
      </c>
      <c r="K22" s="126"/>
      <c r="L22" s="114" t="str">
        <f>CONCATENATE("Table ",X22)</f>
        <v>Table 1</v>
      </c>
      <c r="M22" s="115"/>
      <c r="N22" s="28" t="str">
        <f>CONCATENATE("Table ",Z22)</f>
        <v>Table 2</v>
      </c>
      <c r="O22" s="28" t="str">
        <f>CONCATENATE("Table ",AA22)</f>
        <v>Table 3</v>
      </c>
      <c r="P22" s="66"/>
      <c r="X22" s="6">
        <f>X11</f>
        <v>1</v>
      </c>
      <c r="Z22" s="6">
        <f>X22+1</f>
        <v>2</v>
      </c>
      <c r="AA22" s="6">
        <f>Z22+1</f>
        <v>3</v>
      </c>
    </row>
    <row r="23" spans="1:25" ht="28.5" customHeight="1">
      <c r="A23" s="23"/>
      <c r="B23" s="24"/>
      <c r="C23" s="17"/>
      <c r="D23" s="17"/>
      <c r="E23" s="17"/>
      <c r="F23" s="17"/>
      <c r="G23" s="17"/>
      <c r="H23" s="17"/>
      <c r="I23" s="23"/>
      <c r="J23" s="125" t="str">
        <f>CONCATENATE(VLOOKUP(Y23,times,2,),Z23)</f>
        <v>FR-1130</v>
      </c>
      <c r="K23" s="126" t="e">
        <f>CONCATENATE(VLOOKUP(AB23,times,2,),AC23)</f>
        <v>#N/A</v>
      </c>
      <c r="L23" s="127" t="s">
        <v>35</v>
      </c>
      <c r="M23" s="128"/>
      <c r="N23" s="29" t="s">
        <v>39</v>
      </c>
      <c r="O23" s="64" t="s">
        <v>88</v>
      </c>
      <c r="P23" s="67"/>
      <c r="R23" s="53"/>
      <c r="Y23" s="6">
        <f>AF2</f>
        <v>8</v>
      </c>
    </row>
    <row r="24" spans="1:25" ht="28.5" customHeight="1">
      <c r="A24" s="23"/>
      <c r="B24" s="24"/>
      <c r="C24" s="17"/>
      <c r="D24" s="17"/>
      <c r="E24" s="17"/>
      <c r="F24" s="17"/>
      <c r="G24" s="17"/>
      <c r="H24" s="17"/>
      <c r="I24" s="23"/>
      <c r="J24" s="125" t="str">
        <f>CONCATENATE(VLOOKUP(Y24,times,2,),Z24)</f>
        <v>FR-1630</v>
      </c>
      <c r="K24" s="126" t="e">
        <f>CONCATENATE(VLOOKUP(AB24,times,2,),AC24)</f>
        <v>#N/A</v>
      </c>
      <c r="L24" s="127" t="s">
        <v>38</v>
      </c>
      <c r="M24" s="128"/>
      <c r="N24" s="29" t="s">
        <v>87</v>
      </c>
      <c r="O24" s="64" t="s">
        <v>89</v>
      </c>
      <c r="P24" s="67"/>
      <c r="Y24" s="6">
        <f>AG2</f>
        <v>10</v>
      </c>
    </row>
    <row r="25" spans="1:25" ht="28.5" customHeight="1">
      <c r="A25" s="23"/>
      <c r="B25" s="18" t="s">
        <v>3</v>
      </c>
      <c r="C25" s="17"/>
      <c r="D25" s="17"/>
      <c r="E25" s="17"/>
      <c r="F25" s="17"/>
      <c r="G25" s="17"/>
      <c r="H25" s="17"/>
      <c r="I25" s="23"/>
      <c r="J25" s="125" t="str">
        <f>CONCATENATE(VLOOKUP(Y25,times,2,),Z25)</f>
        <v>FR-1930</v>
      </c>
      <c r="K25" s="126" t="e">
        <f>CONCATENATE(VLOOKUP(AB25,times,2,),AC25)</f>
        <v>#N/A</v>
      </c>
      <c r="L25" s="127" t="s">
        <v>86</v>
      </c>
      <c r="M25" s="128"/>
      <c r="N25" s="29" t="s">
        <v>40</v>
      </c>
      <c r="O25" s="64" t="s">
        <v>90</v>
      </c>
      <c r="P25" s="67"/>
      <c r="Y25" s="6">
        <f>AH2</f>
        <v>12</v>
      </c>
    </row>
    <row r="26" spans="2:26" ht="28.5" customHeight="1">
      <c r="B26" s="18" t="str">
        <f>CONCATENATE(VLOOKUP(Y26,times,2,),"-",Z26)</f>
        <v>SA-1130-3</v>
      </c>
      <c r="Y26" s="6">
        <f>AI2</f>
        <v>14</v>
      </c>
      <c r="Z26" s="6">
        <f>AB2</f>
        <v>3</v>
      </c>
    </row>
    <row r="27" spans="2:5" ht="28.5" customHeight="1">
      <c r="B27" s="30">
        <f>IF(SUM($F$18:$F$20)=3,INDEX($B$18:$B$20,MATCH(1,$G$18:$G$20,0)),"")</f>
      </c>
      <c r="C27" s="3"/>
      <c r="E27" s="58">
        <f>IF(C27&gt;C28,"WINNER","")</f>
      </c>
    </row>
    <row r="28" spans="2:5" ht="28.5" customHeight="1">
      <c r="B28" s="30">
        <f>IF(SUM($F$18:$F$20)=3,INDEX($B$18:$B$20,MATCH(2,$G$18:$G$20,0)),"")</f>
      </c>
      <c r="C28" s="3"/>
      <c r="E28" s="58">
        <f>IF(C28&gt;C27,"WINNER","")</f>
      </c>
    </row>
    <row r="30" ht="6.75" customHeight="1"/>
    <row r="31" ht="12.75">
      <c r="B31" s="31" t="s">
        <v>30</v>
      </c>
    </row>
    <row r="32" ht="6.75" customHeight="1">
      <c r="B32" s="31"/>
    </row>
    <row r="33" ht="12.75">
      <c r="B33" s="32" t="s">
        <v>94</v>
      </c>
    </row>
    <row r="34" ht="12.75">
      <c r="B34" s="6" t="s">
        <v>95</v>
      </c>
    </row>
  </sheetData>
  <mergeCells count="19">
    <mergeCell ref="L22:M22"/>
    <mergeCell ref="A1:W1"/>
    <mergeCell ref="J25:K25"/>
    <mergeCell ref="L25:M25"/>
    <mergeCell ref="J22:K22"/>
    <mergeCell ref="J23:K23"/>
    <mergeCell ref="L23:M23"/>
    <mergeCell ref="J24:K24"/>
    <mergeCell ref="L24:M24"/>
    <mergeCell ref="L14:M14"/>
    <mergeCell ref="A5:W5"/>
    <mergeCell ref="A16:W16"/>
    <mergeCell ref="J11:K11"/>
    <mergeCell ref="J12:K12"/>
    <mergeCell ref="J13:K13"/>
    <mergeCell ref="L12:M12"/>
    <mergeCell ref="L13:M13"/>
    <mergeCell ref="J14:K14"/>
    <mergeCell ref="L11:M11"/>
  </mergeCells>
  <printOptions horizontalCentered="1" verticalCentered="1"/>
  <pageMargins left="0.3937007874015748" right="0.3937007874015748" top="0.3937007874015748" bottom="0.3937007874015748" header="0.3937007874015748" footer="0.3937007874015748"/>
  <pageSetup fitToHeight="1" fitToWidth="1" horizontalDpi="300" verticalDpi="300" orientation="landscape"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AU43"/>
  <sheetViews>
    <sheetView workbookViewId="0" topLeftCell="A26">
      <selection activeCell="A1" sqref="A1:W1"/>
    </sheetView>
  </sheetViews>
  <sheetFormatPr defaultColWidth="9.140625" defaultRowHeight="12.75"/>
  <cols>
    <col min="1" max="1" width="4.7109375" style="6" customWidth="1"/>
    <col min="2" max="2" width="16.7109375" style="6" customWidth="1"/>
    <col min="3" max="5" width="4.7109375" style="6" customWidth="1"/>
    <col min="6" max="8" width="8.7109375" style="6" customWidth="1"/>
    <col min="9" max="9" width="4.7109375" style="6" customWidth="1"/>
    <col min="10" max="10" width="16.7109375" style="6" customWidth="1"/>
    <col min="11" max="13" width="4.7109375" style="6" customWidth="1"/>
    <col min="14" max="16" width="8.7109375" style="6" customWidth="1"/>
    <col min="17" max="17" width="4.7109375" style="6" customWidth="1"/>
    <col min="18" max="18" width="16.7109375" style="6" customWidth="1"/>
    <col min="19" max="21" width="4.7109375" style="6" customWidth="1"/>
    <col min="22" max="23" width="8.7109375" style="6" customWidth="1"/>
    <col min="24" max="47" width="3.7109375" style="6" customWidth="1"/>
    <col min="48" max="16384" width="9.140625" style="6" customWidth="1"/>
  </cols>
  <sheetData>
    <row r="1" spans="1:23" ht="28.5" customHeight="1">
      <c r="A1" s="129" t="str">
        <f>Control!$A$1</f>
        <v>2006 New Zealand Championships</v>
      </c>
      <c r="B1" s="129"/>
      <c r="C1" s="129"/>
      <c r="D1" s="129"/>
      <c r="E1" s="129"/>
      <c r="F1" s="129"/>
      <c r="G1" s="129"/>
      <c r="H1" s="129"/>
      <c r="I1" s="129"/>
      <c r="J1" s="129"/>
      <c r="K1" s="129"/>
      <c r="L1" s="129"/>
      <c r="M1" s="129"/>
      <c r="N1" s="129"/>
      <c r="O1" s="129"/>
      <c r="P1" s="129"/>
      <c r="Q1" s="129"/>
      <c r="R1" s="129"/>
      <c r="S1" s="129"/>
      <c r="T1" s="129"/>
      <c r="U1" s="129"/>
      <c r="V1" s="129"/>
      <c r="W1" s="129"/>
    </row>
    <row r="2" spans="1:27" ht="28.5" customHeight="1">
      <c r="A2" s="33" t="str">
        <f>Y2</f>
        <v>9 team grade with final</v>
      </c>
      <c r="B2" s="34"/>
      <c r="C2" s="34"/>
      <c r="D2" s="34"/>
      <c r="E2" s="34"/>
      <c r="F2" s="34"/>
      <c r="G2" s="34"/>
      <c r="H2" s="47"/>
      <c r="I2" s="47"/>
      <c r="J2" s="47"/>
      <c r="K2" s="47"/>
      <c r="L2" s="47"/>
      <c r="M2" s="47"/>
      <c r="N2" s="47"/>
      <c r="O2" s="47"/>
      <c r="P2" s="48"/>
      <c r="Q2" s="48"/>
      <c r="R2" s="48"/>
      <c r="S2" s="48"/>
      <c r="T2" s="48"/>
      <c r="U2" s="48"/>
      <c r="V2" s="48"/>
      <c r="W2" s="48"/>
      <c r="Y2" s="56" t="s">
        <v>98</v>
      </c>
      <c r="Z2" s="58" t="s">
        <v>99</v>
      </c>
      <c r="AA2" s="58">
        <v>9</v>
      </c>
    </row>
    <row r="3" spans="1:23" ht="28.5" customHeight="1">
      <c r="A3" s="49" t="str">
        <f>Z2</f>
        <v>Shield name</v>
      </c>
      <c r="B3" s="34"/>
      <c r="C3" s="34"/>
      <c r="D3" s="34"/>
      <c r="E3" s="34"/>
      <c r="F3" s="34"/>
      <c r="G3" s="34"/>
      <c r="H3" s="47"/>
      <c r="I3" s="47"/>
      <c r="J3" s="47"/>
      <c r="K3" s="47"/>
      <c r="L3" s="47"/>
      <c r="M3" s="47"/>
      <c r="N3" s="47"/>
      <c r="O3" s="47"/>
      <c r="P3" s="48"/>
      <c r="Q3" s="48"/>
      <c r="R3" s="48"/>
      <c r="S3" s="48"/>
      <c r="T3" s="48"/>
      <c r="U3" s="48"/>
      <c r="V3" s="48"/>
      <c r="W3" s="48"/>
    </row>
    <row r="4" spans="1:23" ht="28.5" customHeight="1">
      <c r="A4" s="49"/>
      <c r="B4" s="34"/>
      <c r="C4" s="34"/>
      <c r="D4" s="34"/>
      <c r="E4" s="34"/>
      <c r="F4" s="34"/>
      <c r="G4" s="34"/>
      <c r="H4" s="47"/>
      <c r="I4" s="47"/>
      <c r="J4" s="47"/>
      <c r="K4" s="47"/>
      <c r="L4" s="47"/>
      <c r="M4" s="47"/>
      <c r="N4" s="47"/>
      <c r="O4" s="47"/>
      <c r="P4" s="48"/>
      <c r="Q4" s="48"/>
      <c r="R4" s="48"/>
      <c r="S4" s="48"/>
      <c r="T4" s="48"/>
      <c r="U4" s="48"/>
      <c r="V4" s="48"/>
      <c r="W4" s="48"/>
    </row>
    <row r="5" spans="1:23" ht="28.5" customHeight="1">
      <c r="A5" s="124" t="s">
        <v>157</v>
      </c>
      <c r="B5" s="124"/>
      <c r="C5" s="124"/>
      <c r="D5" s="124"/>
      <c r="E5" s="124"/>
      <c r="F5" s="124"/>
      <c r="G5" s="124"/>
      <c r="H5" s="124"/>
      <c r="I5" s="124"/>
      <c r="J5" s="124"/>
      <c r="K5" s="124"/>
      <c r="L5" s="124"/>
      <c r="M5" s="124"/>
      <c r="N5" s="124"/>
      <c r="O5" s="124"/>
      <c r="P5" s="124"/>
      <c r="Q5" s="124"/>
      <c r="R5" s="124"/>
      <c r="S5" s="124"/>
      <c r="T5" s="124"/>
      <c r="U5" s="124"/>
      <c r="V5" s="124"/>
      <c r="W5" s="124"/>
    </row>
    <row r="6" spans="1:47" ht="28.5" customHeight="1">
      <c r="A6" s="17"/>
      <c r="B6" s="18" t="s">
        <v>4</v>
      </c>
      <c r="C6" s="18">
        <v>1</v>
      </c>
      <c r="D6" s="18">
        <v>2</v>
      </c>
      <c r="E6" s="18">
        <v>3</v>
      </c>
      <c r="F6" s="18" t="s">
        <v>0</v>
      </c>
      <c r="G6" s="18" t="s">
        <v>1</v>
      </c>
      <c r="H6" s="17"/>
      <c r="I6" s="17"/>
      <c r="J6" s="18" t="s">
        <v>5</v>
      </c>
      <c r="K6" s="18">
        <v>1</v>
      </c>
      <c r="L6" s="18">
        <v>2</v>
      </c>
      <c r="M6" s="18">
        <v>3</v>
      </c>
      <c r="N6" s="18" t="s">
        <v>0</v>
      </c>
      <c r="O6" s="18" t="s">
        <v>1</v>
      </c>
      <c r="Q6" s="17"/>
      <c r="R6" s="18" t="s">
        <v>6</v>
      </c>
      <c r="S6" s="18">
        <v>1</v>
      </c>
      <c r="T6" s="18">
        <v>2</v>
      </c>
      <c r="U6" s="18">
        <v>3</v>
      </c>
      <c r="V6" s="18" t="s">
        <v>0</v>
      </c>
      <c r="W6" s="18" t="s">
        <v>1</v>
      </c>
      <c r="X6" s="55"/>
      <c r="Y6" s="55" t="s">
        <v>2</v>
      </c>
      <c r="Z6" s="55">
        <f>INT(AA2/2)</f>
        <v>4</v>
      </c>
      <c r="AA6" s="55"/>
      <c r="AB6" s="55"/>
      <c r="AC6" s="55"/>
      <c r="AD6" s="55"/>
      <c r="AE6" s="55"/>
      <c r="AF6" s="55"/>
      <c r="AG6" s="55"/>
      <c r="AH6" s="55"/>
      <c r="AI6" s="55"/>
      <c r="AJ6" s="55"/>
      <c r="AK6" s="55"/>
      <c r="AL6" s="55"/>
      <c r="AM6" s="55"/>
      <c r="AN6" s="55"/>
      <c r="AO6" s="55"/>
      <c r="AP6" s="55"/>
      <c r="AQ6" s="55"/>
      <c r="AR6" s="55"/>
      <c r="AS6" s="55"/>
      <c r="AT6" s="55"/>
      <c r="AU6" s="55"/>
    </row>
    <row r="7" spans="1:47" ht="28.5" customHeight="1">
      <c r="A7" s="18">
        <v>1</v>
      </c>
      <c r="B7" s="19" t="s">
        <v>2</v>
      </c>
      <c r="C7" s="20"/>
      <c r="D7" s="3"/>
      <c r="E7" s="3"/>
      <c r="F7" s="7">
        <f>IF(COUNT(Y7:AA7)&gt;0,SUM(AK7:AM7),"")</f>
      </c>
      <c r="G7" s="7">
        <f>IF(COUNT(F7:F7)&gt;0,IF(SUM(F$7:F$9)&gt;0,RANK(F7,F$7:F$9,0),""),"")</f>
      </c>
      <c r="H7" s="17"/>
      <c r="I7" s="18">
        <v>1</v>
      </c>
      <c r="J7" s="19" t="s">
        <v>2</v>
      </c>
      <c r="K7" s="20"/>
      <c r="L7" s="3"/>
      <c r="M7" s="3"/>
      <c r="N7" s="7">
        <f>IF(COUNT(AC7:AE7)&gt;0,SUM(AO7:AQ7),"")</f>
      </c>
      <c r="O7" s="7">
        <f>IF(COUNT(N7:N7)&gt;0,IF(SUM(N$7:N$9)&gt;0,RANK(N7,N$7:N$9,0),""),"")</f>
      </c>
      <c r="Q7" s="18">
        <v>1</v>
      </c>
      <c r="R7" s="19" t="s">
        <v>2</v>
      </c>
      <c r="S7" s="20"/>
      <c r="T7" s="3"/>
      <c r="U7" s="3"/>
      <c r="V7" s="7">
        <f>IF(COUNT(AG7:AI7)&gt;0,SUM(AS7:AU7),"")</f>
      </c>
      <c r="W7" s="7">
        <f>IF(COUNT(V7:V7)&gt;0,IF(SUM(V$7:V$9)&gt;0,RANK(V7,V$7:V$9,0),""),"")</f>
      </c>
      <c r="X7" s="55"/>
      <c r="Y7" s="21">
        <f aca="true" t="shared" si="0" ref="Y7:AA9">IF(C7="","",VALUE(LEFT(C7)))</f>
      </c>
      <c r="Z7" s="21">
        <f t="shared" si="0"/>
      </c>
      <c r="AA7" s="21">
        <f t="shared" si="0"/>
      </c>
      <c r="AB7" s="55"/>
      <c r="AC7" s="21">
        <f aca="true" t="shared" si="1" ref="AC7:AE9">IF(K7="","",VALUE(LEFT(K7)))</f>
      </c>
      <c r="AD7" s="21">
        <f t="shared" si="1"/>
      </c>
      <c r="AE7" s="21">
        <f t="shared" si="1"/>
      </c>
      <c r="AF7" s="55"/>
      <c r="AG7" s="21">
        <f aca="true" t="shared" si="2" ref="AG7:AI9">IF(S7="","",VALUE(LEFT(S7)))</f>
      </c>
      <c r="AH7" s="21">
        <f t="shared" si="2"/>
      </c>
      <c r="AI7" s="21">
        <f t="shared" si="2"/>
      </c>
      <c r="AJ7" s="55"/>
      <c r="AK7" s="55">
        <f aca="true" t="shared" si="3" ref="AK7:AM9">IF(C7="","",IF(Y7&gt;$Z$6,1,""))</f>
      </c>
      <c r="AL7" s="55">
        <f t="shared" si="3"/>
      </c>
      <c r="AM7" s="55">
        <f t="shared" si="3"/>
      </c>
      <c r="AN7" s="55"/>
      <c r="AO7" s="55">
        <f aca="true" t="shared" si="4" ref="AO7:AQ9">IF(K7="","",IF(AC7&gt;$Z$6,1,""))</f>
      </c>
      <c r="AP7" s="55">
        <f t="shared" si="4"/>
      </c>
      <c r="AQ7" s="55">
        <f t="shared" si="4"/>
      </c>
      <c r="AR7" s="55"/>
      <c r="AS7" s="55">
        <f aca="true" t="shared" si="5" ref="AS7:AU9">IF(S7="","",IF(AG7&gt;$Z$6,1,""))</f>
      </c>
      <c r="AT7" s="55">
        <f t="shared" si="5"/>
      </c>
      <c r="AU7" s="55">
        <f t="shared" si="5"/>
      </c>
    </row>
    <row r="8" spans="1:47" ht="28.5" customHeight="1">
      <c r="A8" s="18">
        <v>2</v>
      </c>
      <c r="B8" s="19" t="s">
        <v>2</v>
      </c>
      <c r="C8" s="16">
        <f>IF(ISBLANK(D7),"",CONCATENATE(RIGHT(D7),"-",LEFT(D7)))</f>
      </c>
      <c r="D8" s="20"/>
      <c r="E8" s="3"/>
      <c r="F8" s="7">
        <f>IF(COUNT(Y8:AA8)&gt;0,SUM(AK8:AM8),"")</f>
      </c>
      <c r="G8" s="7">
        <f>IF(COUNT(F8:F8)&gt;0,IF(SUM(F$7:F$9)&gt;0,RANK(F8,F$7:F$9,0),""),"")</f>
      </c>
      <c r="H8" s="17"/>
      <c r="I8" s="18">
        <v>2</v>
      </c>
      <c r="J8" s="19" t="s">
        <v>2</v>
      </c>
      <c r="K8" s="16">
        <f>IF(ISBLANK(L7),"",CONCATENATE(RIGHT(L7),"-",LEFT(L7)))</f>
      </c>
      <c r="L8" s="20"/>
      <c r="M8" s="3"/>
      <c r="N8" s="7">
        <f>IF(COUNT(AC8:AE8)&gt;0,SUM(AO8:AQ8),"")</f>
      </c>
      <c r="O8" s="7">
        <f>IF(COUNT(N8:N8)&gt;0,IF(SUM(N$7:N$9)&gt;0,RANK(N8,N$7:N$9,0),""),"")</f>
      </c>
      <c r="Q8" s="18">
        <v>2</v>
      </c>
      <c r="R8" s="19" t="s">
        <v>2</v>
      </c>
      <c r="S8" s="16">
        <f>IF(ISBLANK(T7),"",CONCATENATE(RIGHT(T7),"-",LEFT(T7)))</f>
      </c>
      <c r="T8" s="20"/>
      <c r="U8" s="3"/>
      <c r="V8" s="7">
        <f>IF(COUNT(AG8:AI8)&gt;0,SUM(AS8:AU8),"")</f>
      </c>
      <c r="W8" s="7">
        <f>IF(COUNT(V8:V8)&gt;0,IF(SUM(V$7:V$9)&gt;0,RANK(V8,V$7:V$9,0),""),"")</f>
      </c>
      <c r="X8" s="55"/>
      <c r="Y8" s="21">
        <f t="shared" si="0"/>
      </c>
      <c r="Z8" s="21">
        <f t="shared" si="0"/>
      </c>
      <c r="AA8" s="21">
        <f t="shared" si="0"/>
      </c>
      <c r="AB8" s="55"/>
      <c r="AC8" s="21">
        <f t="shared" si="1"/>
      </c>
      <c r="AD8" s="21">
        <f t="shared" si="1"/>
      </c>
      <c r="AE8" s="21">
        <f t="shared" si="1"/>
      </c>
      <c r="AF8" s="55"/>
      <c r="AG8" s="21">
        <f t="shared" si="2"/>
      </c>
      <c r="AH8" s="21">
        <f t="shared" si="2"/>
      </c>
      <c r="AI8" s="21">
        <f t="shared" si="2"/>
      </c>
      <c r="AJ8" s="55"/>
      <c r="AK8" s="55">
        <f t="shared" si="3"/>
      </c>
      <c r="AL8" s="55">
        <f t="shared" si="3"/>
      </c>
      <c r="AM8" s="55">
        <f t="shared" si="3"/>
      </c>
      <c r="AN8" s="55"/>
      <c r="AO8" s="55">
        <f t="shared" si="4"/>
      </c>
      <c r="AP8" s="55">
        <f t="shared" si="4"/>
      </c>
      <c r="AQ8" s="55">
        <f t="shared" si="4"/>
      </c>
      <c r="AR8" s="55"/>
      <c r="AS8" s="55">
        <f t="shared" si="5"/>
      </c>
      <c r="AT8" s="55">
        <f t="shared" si="5"/>
      </c>
      <c r="AU8" s="55">
        <f t="shared" si="5"/>
      </c>
    </row>
    <row r="9" spans="1:47" ht="28.5" customHeight="1">
      <c r="A9" s="18">
        <v>3</v>
      </c>
      <c r="B9" s="19" t="s">
        <v>2</v>
      </c>
      <c r="C9" s="16">
        <f>IF(ISBLANK(E7),"",CONCATENATE(RIGHT(E7),"-",LEFT(E7)))</f>
      </c>
      <c r="D9" s="16">
        <f>IF(ISBLANK(E8),"",CONCATENATE(RIGHT(E8),"-",LEFT(E8)))</f>
      </c>
      <c r="E9" s="20"/>
      <c r="F9" s="7">
        <f>IF(COUNT(Y9:AA9)&gt;0,SUM(AK9:AM9),"")</f>
      </c>
      <c r="G9" s="7">
        <f>IF(COUNT(F9:F9)&gt;0,IF(SUM(F$7:F$9)&gt;0,RANK(F9,F$7:F$9,0),""),"")</f>
      </c>
      <c r="H9" s="17"/>
      <c r="I9" s="18">
        <v>3</v>
      </c>
      <c r="J9" s="19" t="s">
        <v>2</v>
      </c>
      <c r="K9" s="16">
        <f>IF(ISBLANK(M7),"",CONCATENATE(RIGHT(M7),"-",LEFT(M7)))</f>
      </c>
      <c r="L9" s="16">
        <f>IF(ISBLANK(M8),"",CONCATENATE(RIGHT(M8),"-",LEFT(M8)))</f>
      </c>
      <c r="M9" s="20"/>
      <c r="N9" s="7">
        <f>IF(COUNT(AC9:AE9)&gt;0,SUM(AO9:AQ9),"")</f>
      </c>
      <c r="O9" s="7">
        <f>IF(COUNT(N9:N9)&gt;0,IF(SUM(N$7:N$9)&gt;0,RANK(N9,N$7:N$9,0),""),"")</f>
      </c>
      <c r="Q9" s="18">
        <v>3</v>
      </c>
      <c r="R9" s="19" t="s">
        <v>2</v>
      </c>
      <c r="S9" s="16">
        <f>IF(ISBLANK(U7),"",CONCATENATE(RIGHT(U7),"-",LEFT(U7)))</f>
      </c>
      <c r="T9" s="16">
        <f>IF(ISBLANK(U8),"",CONCATENATE(RIGHT(U8),"-",LEFT(U8)))</f>
      </c>
      <c r="U9" s="20"/>
      <c r="V9" s="7">
        <f>IF(COUNT(AG9:AI9)&gt;0,SUM(AS9:AU9),"")</f>
      </c>
      <c r="W9" s="7">
        <f>IF(COUNT(V9:V9)&gt;0,IF(SUM(V$7:V$9)&gt;0,RANK(V9,V$7:V$9,0),""),"")</f>
      </c>
      <c r="X9" s="55"/>
      <c r="Y9" s="21">
        <f t="shared" si="0"/>
      </c>
      <c r="Z9" s="21">
        <f t="shared" si="0"/>
      </c>
      <c r="AA9" s="21">
        <f t="shared" si="0"/>
      </c>
      <c r="AB9" s="55"/>
      <c r="AC9" s="21">
        <f t="shared" si="1"/>
      </c>
      <c r="AD9" s="21">
        <f t="shared" si="1"/>
      </c>
      <c r="AE9" s="21">
        <f t="shared" si="1"/>
      </c>
      <c r="AF9" s="55"/>
      <c r="AG9" s="21">
        <f t="shared" si="2"/>
      </c>
      <c r="AH9" s="21">
        <f t="shared" si="2"/>
      </c>
      <c r="AI9" s="21">
        <f t="shared" si="2"/>
      </c>
      <c r="AJ9" s="55"/>
      <c r="AK9" s="55">
        <f t="shared" si="3"/>
      </c>
      <c r="AL9" s="55">
        <f t="shared" si="3"/>
      </c>
      <c r="AM9" s="55">
        <f t="shared" si="3"/>
      </c>
      <c r="AN9" s="55"/>
      <c r="AO9" s="55">
        <f t="shared" si="4"/>
      </c>
      <c r="AP9" s="55">
        <f t="shared" si="4"/>
      </c>
      <c r="AQ9" s="55">
        <f t="shared" si="4"/>
      </c>
      <c r="AR9" s="55"/>
      <c r="AS9" s="55">
        <f t="shared" si="5"/>
      </c>
      <c r="AT9" s="55">
        <f t="shared" si="5"/>
      </c>
      <c r="AU9" s="55">
        <f t="shared" si="5"/>
      </c>
    </row>
    <row r="10" spans="1:15" ht="28.5" customHeight="1">
      <c r="A10" s="23"/>
      <c r="B10" s="24"/>
      <c r="C10" s="17"/>
      <c r="D10" s="17"/>
      <c r="E10" s="17"/>
      <c r="F10" s="17"/>
      <c r="G10" s="17"/>
      <c r="H10" s="17"/>
      <c r="I10" s="23"/>
      <c r="J10" s="24"/>
      <c r="K10" s="17"/>
      <c r="L10" s="17"/>
      <c r="M10" s="17"/>
      <c r="N10" s="17"/>
      <c r="O10" s="17"/>
    </row>
    <row r="11" spans="1:15" ht="28.5" customHeight="1">
      <c r="A11" s="23"/>
      <c r="B11" s="24"/>
      <c r="C11" s="17"/>
      <c r="D11" s="17"/>
      <c r="E11" s="17"/>
      <c r="F11" s="17"/>
      <c r="G11" s="17"/>
      <c r="H11" s="17"/>
      <c r="I11" s="23"/>
      <c r="J11" s="125" t="s">
        <v>9</v>
      </c>
      <c r="K11" s="126"/>
      <c r="L11" s="114" t="s">
        <v>96</v>
      </c>
      <c r="M11" s="115"/>
      <c r="N11" s="28" t="s">
        <v>96</v>
      </c>
      <c r="O11" s="28" t="s">
        <v>96</v>
      </c>
    </row>
    <row r="12" spans="1:15" ht="28.5" customHeight="1">
      <c r="A12" s="23"/>
      <c r="B12" s="24"/>
      <c r="C12" s="17"/>
      <c r="D12" s="17"/>
      <c r="E12" s="17"/>
      <c r="F12" s="17"/>
      <c r="G12" s="17"/>
      <c r="H12" s="17"/>
      <c r="I12" s="23"/>
      <c r="J12" s="125" t="s">
        <v>2</v>
      </c>
      <c r="K12" s="126"/>
      <c r="L12" s="127" t="s">
        <v>54</v>
      </c>
      <c r="M12" s="128"/>
      <c r="N12" s="29" t="s">
        <v>72</v>
      </c>
      <c r="O12" s="29" t="s">
        <v>43</v>
      </c>
    </row>
    <row r="13" spans="1:15" ht="28.5" customHeight="1">
      <c r="A13" s="23"/>
      <c r="B13" s="24"/>
      <c r="C13" s="17"/>
      <c r="D13" s="17"/>
      <c r="E13" s="17"/>
      <c r="F13" s="17"/>
      <c r="G13" s="17"/>
      <c r="H13" s="17"/>
      <c r="I13" s="23"/>
      <c r="J13" s="125" t="s">
        <v>2</v>
      </c>
      <c r="K13" s="126"/>
      <c r="L13" s="127" t="s">
        <v>51</v>
      </c>
      <c r="M13" s="128"/>
      <c r="N13" s="29" t="s">
        <v>49</v>
      </c>
      <c r="O13" s="29" t="s">
        <v>73</v>
      </c>
    </row>
    <row r="14" spans="1:15" ht="28.5" customHeight="1">
      <c r="A14" s="23"/>
      <c r="B14" s="24"/>
      <c r="C14" s="17"/>
      <c r="D14" s="17"/>
      <c r="E14" s="17"/>
      <c r="F14" s="17"/>
      <c r="G14" s="17"/>
      <c r="H14" s="17"/>
      <c r="I14" s="23"/>
      <c r="J14" s="125" t="s">
        <v>2</v>
      </c>
      <c r="K14" s="126"/>
      <c r="L14" s="127" t="s">
        <v>71</v>
      </c>
      <c r="M14" s="128"/>
      <c r="N14" s="29" t="s">
        <v>47</v>
      </c>
      <c r="O14" s="29" t="s">
        <v>45</v>
      </c>
    </row>
    <row r="15" spans="1:15" ht="28.5" customHeight="1">
      <c r="A15" s="23"/>
      <c r="B15" s="24"/>
      <c r="C15" s="17"/>
      <c r="D15" s="17"/>
      <c r="E15" s="17"/>
      <c r="F15" s="17"/>
      <c r="G15" s="17"/>
      <c r="H15" s="17"/>
      <c r="I15" s="23"/>
      <c r="J15" s="24"/>
      <c r="K15" s="17"/>
      <c r="L15" s="17"/>
      <c r="M15" s="17"/>
      <c r="N15" s="17"/>
      <c r="O15" s="17"/>
    </row>
    <row r="16" spans="1:23" ht="28.5" customHeight="1">
      <c r="A16" s="124" t="s">
        <v>158</v>
      </c>
      <c r="B16" s="124"/>
      <c r="C16" s="124"/>
      <c r="D16" s="124"/>
      <c r="E16" s="124"/>
      <c r="F16" s="124"/>
      <c r="G16" s="124"/>
      <c r="H16" s="124"/>
      <c r="I16" s="124"/>
      <c r="J16" s="124"/>
      <c r="K16" s="124"/>
      <c r="L16" s="124"/>
      <c r="M16" s="124"/>
      <c r="N16" s="124"/>
      <c r="O16" s="124"/>
      <c r="P16" s="124"/>
      <c r="Q16" s="124"/>
      <c r="R16" s="124"/>
      <c r="S16" s="124"/>
      <c r="T16" s="124"/>
      <c r="U16" s="124"/>
      <c r="V16" s="124"/>
      <c r="W16" s="124"/>
    </row>
    <row r="17" spans="1:23" ht="28.5" customHeight="1">
      <c r="A17" s="17"/>
      <c r="B17" s="50" t="s">
        <v>74</v>
      </c>
      <c r="C17" s="18">
        <v>1</v>
      </c>
      <c r="D17" s="18">
        <v>2</v>
      </c>
      <c r="E17" s="18">
        <v>3</v>
      </c>
      <c r="F17" s="18" t="s">
        <v>0</v>
      </c>
      <c r="G17" s="50" t="s">
        <v>1</v>
      </c>
      <c r="H17" s="17"/>
      <c r="I17" s="17"/>
      <c r="J17" s="50" t="s">
        <v>75</v>
      </c>
      <c r="K17" s="18">
        <v>1</v>
      </c>
      <c r="L17" s="18">
        <v>2</v>
      </c>
      <c r="M17" s="18">
        <v>3</v>
      </c>
      <c r="N17" s="18" t="s">
        <v>0</v>
      </c>
      <c r="O17" s="50" t="s">
        <v>1</v>
      </c>
      <c r="Q17" s="17"/>
      <c r="R17" s="50" t="s">
        <v>76</v>
      </c>
      <c r="S17" s="18">
        <v>1</v>
      </c>
      <c r="T17" s="18">
        <v>2</v>
      </c>
      <c r="U17" s="18">
        <v>3</v>
      </c>
      <c r="V17" s="18" t="s">
        <v>0</v>
      </c>
      <c r="W17" s="50" t="s">
        <v>1</v>
      </c>
    </row>
    <row r="18" spans="1:47" ht="28.5" customHeight="1">
      <c r="A18" s="18" t="s">
        <v>56</v>
      </c>
      <c r="B18" s="5">
        <f>IF(SUM($F$7:$F$9)=3,INDEX($B$7:$B$9,MATCH(1,$G$7:$G$9,0)),"")</f>
      </c>
      <c r="C18" s="20"/>
      <c r="D18" s="3"/>
      <c r="E18" s="3"/>
      <c r="F18" s="7">
        <f>IF(COUNT(Y18:AA18)&gt;0,SUM(AK18:AM18),"")</f>
      </c>
      <c r="G18" s="7">
        <f>IF(COUNT(F18:F18)&gt;0,IF(SUM(F$18:F$20)&gt;0,RANK(F18,F$18:F$20,0),""),"")</f>
      </c>
      <c r="H18" s="17"/>
      <c r="I18" s="18" t="s">
        <v>78</v>
      </c>
      <c r="J18" s="4">
        <f>IF(SUM($V$7:$V$9)=3,INDEX($R$7:$R$9,MATCH(2,$W$7:$W$9,0)),"")</f>
      </c>
      <c r="K18" s="20"/>
      <c r="L18" s="3"/>
      <c r="M18" s="3"/>
      <c r="N18" s="7">
        <f>IF(COUNT(AC18:AE18)&gt;0,SUM(AO18:AQ18),"")</f>
      </c>
      <c r="O18" s="7">
        <f>IF(COUNT(N18:N18)&gt;0,IF(SUM(N$18:N$20)&gt;0,3+RANK(N18,N$18:N$20,0),""),"")</f>
      </c>
      <c r="Q18" s="18" t="s">
        <v>60</v>
      </c>
      <c r="R18" s="4">
        <f>IF(SUM($F$7:$F$9)=3,INDEX($B$7:$B$9,MATCH(3,$G$7:$G$9,0)),"")</f>
      </c>
      <c r="S18" s="20"/>
      <c r="T18" s="3"/>
      <c r="U18" s="3"/>
      <c r="V18" s="7">
        <f>IF(COUNT(AG18:AI18)&gt;0,SUM(AS18:AU18),"")</f>
      </c>
      <c r="W18" s="7">
        <f>IF(COUNT(V18:V18)&gt;0,IF(SUM(V$18:V$20)&gt;0,6+RANK(V18,V$18:V$20,0),""),"")</f>
      </c>
      <c r="Y18" s="21">
        <f aca="true" t="shared" si="6" ref="Y18:AA20">IF(C18="","",VALUE(LEFT(C18)))</f>
      </c>
      <c r="Z18" s="21">
        <f t="shared" si="6"/>
      </c>
      <c r="AA18" s="21">
        <f t="shared" si="6"/>
      </c>
      <c r="AB18" s="55"/>
      <c r="AC18" s="21">
        <f aca="true" t="shared" si="7" ref="AC18:AE20">IF(K18="","",VALUE(LEFT(K18)))</f>
      </c>
      <c r="AD18" s="21">
        <f t="shared" si="7"/>
      </c>
      <c r="AE18" s="21">
        <f t="shared" si="7"/>
      </c>
      <c r="AF18" s="55"/>
      <c r="AG18" s="21">
        <f aca="true" t="shared" si="8" ref="AG18:AI20">IF(S18="","",VALUE(LEFT(S18)))</f>
      </c>
      <c r="AH18" s="21">
        <f t="shared" si="8"/>
      </c>
      <c r="AI18" s="21">
        <f t="shared" si="8"/>
      </c>
      <c r="AJ18" s="55"/>
      <c r="AK18" s="55">
        <f aca="true" t="shared" si="9" ref="AK18:AM20">IF(C18="","",IF(Y18&gt;$Z$6,1,""))</f>
      </c>
      <c r="AL18" s="55">
        <f t="shared" si="9"/>
      </c>
      <c r="AM18" s="55">
        <f t="shared" si="9"/>
      </c>
      <c r="AN18" s="55"/>
      <c r="AO18" s="55">
        <f aca="true" t="shared" si="10" ref="AO18:AQ20">IF(K18="","",IF(AC18&gt;$Z$6,1,""))</f>
      </c>
      <c r="AP18" s="55">
        <f t="shared" si="10"/>
      </c>
      <c r="AQ18" s="55">
        <f t="shared" si="10"/>
      </c>
      <c r="AR18" s="55"/>
      <c r="AS18" s="55">
        <f aca="true" t="shared" si="11" ref="AS18:AU20">IF(S18="","",IF(AG18&gt;$Z$6,1,""))</f>
      </c>
      <c r="AT18" s="55">
        <f t="shared" si="11"/>
      </c>
      <c r="AU18" s="55">
        <f t="shared" si="11"/>
      </c>
    </row>
    <row r="19" spans="1:47" ht="28.5" customHeight="1">
      <c r="A19" s="18" t="s">
        <v>57</v>
      </c>
      <c r="B19" s="4">
        <f>IF(SUM($N$7:$N$9)=3,INDEX($J$7:$J$9,MATCH(1,$O$7:$O$9,0)),"")</f>
      </c>
      <c r="C19" s="16">
        <f>IF(ISBLANK(D18),"",CONCATENATE(RIGHT(D18),"-",LEFT(D18)))</f>
      </c>
      <c r="D19" s="20"/>
      <c r="E19" s="3"/>
      <c r="F19" s="7">
        <f>IF(COUNT(Y19:AA19)&gt;0,SUM(AK19:AM19),"")</f>
      </c>
      <c r="G19" s="7">
        <f>IF(COUNT(F19:F19)&gt;0,IF(SUM(F$18:F$20)&gt;0,RANK(F19,F$18:F$20,0),""),"")</f>
      </c>
      <c r="H19" s="17"/>
      <c r="I19" s="18" t="s">
        <v>58</v>
      </c>
      <c r="J19" s="4">
        <f>IF(SUM($N$7:$N$9)=3,INDEX($J$7:$J$9,MATCH(2,$O$7:$O$9,0)),"")</f>
      </c>
      <c r="K19" s="16">
        <f>IF(ISBLANK(L18),"",CONCATENATE(RIGHT(L18),"-",LEFT(L18)))</f>
      </c>
      <c r="L19" s="20"/>
      <c r="M19" s="3"/>
      <c r="N19" s="7">
        <f>IF(COUNT(AC19:AE19)&gt;0,SUM(AO19:AQ19),"")</f>
      </c>
      <c r="O19" s="7">
        <f>IF(COUNT(N19:N19)&gt;0,IF(SUM(N$18:N$20)&gt;0,3+RANK(N19,N$18:N$20,0),""),"")</f>
      </c>
      <c r="Q19" s="18" t="s">
        <v>61</v>
      </c>
      <c r="R19" s="4">
        <f>IF(SUM($N$7:$N$9)=3,INDEX($J$7:$J$9,MATCH(3,$O$7:$O$9,0)),"")</f>
      </c>
      <c r="S19" s="16">
        <f>IF(ISBLANK(T18),"",CONCATENATE(RIGHT(T18),"-",LEFT(T18)))</f>
      </c>
      <c r="T19" s="20"/>
      <c r="U19" s="3"/>
      <c r="V19" s="7">
        <f>IF(COUNT(AG19:AI19)&gt;0,SUM(AS19:AU19),"")</f>
      </c>
      <c r="W19" s="7">
        <f>IF(COUNT(V19:V19)&gt;0,IF(SUM(V$18:V$20)&gt;0,6+RANK(V19,V$18:V$20,0),""),"")</f>
      </c>
      <c r="Y19" s="21">
        <f t="shared" si="6"/>
      </c>
      <c r="Z19" s="21">
        <f t="shared" si="6"/>
      </c>
      <c r="AA19" s="21">
        <f t="shared" si="6"/>
      </c>
      <c r="AB19" s="55"/>
      <c r="AC19" s="21">
        <f t="shared" si="7"/>
      </c>
      <c r="AD19" s="21">
        <f t="shared" si="7"/>
      </c>
      <c r="AE19" s="21">
        <f t="shared" si="7"/>
      </c>
      <c r="AF19" s="55"/>
      <c r="AG19" s="21">
        <f t="shared" si="8"/>
      </c>
      <c r="AH19" s="21">
        <f t="shared" si="8"/>
      </c>
      <c r="AI19" s="21">
        <f t="shared" si="8"/>
      </c>
      <c r="AJ19" s="55"/>
      <c r="AK19" s="55">
        <f t="shared" si="9"/>
      </c>
      <c r="AL19" s="55">
        <f t="shared" si="9"/>
      </c>
      <c r="AM19" s="55">
        <f t="shared" si="9"/>
      </c>
      <c r="AN19" s="55"/>
      <c r="AO19" s="55">
        <f t="shared" si="10"/>
      </c>
      <c r="AP19" s="55">
        <f t="shared" si="10"/>
      </c>
      <c r="AQ19" s="55">
        <f t="shared" si="10"/>
      </c>
      <c r="AR19" s="55"/>
      <c r="AS19" s="55">
        <f t="shared" si="11"/>
      </c>
      <c r="AT19" s="55">
        <f t="shared" si="11"/>
      </c>
      <c r="AU19" s="55">
        <f t="shared" si="11"/>
      </c>
    </row>
    <row r="20" spans="1:47" ht="28.5" customHeight="1">
      <c r="A20" s="18" t="s">
        <v>77</v>
      </c>
      <c r="B20" s="4">
        <f>IF(SUM($V$7:$V$9)=3,INDEX($R$7:$R$9,MATCH(1,$W$7:$W$9,0)),"")</f>
      </c>
      <c r="C20" s="16">
        <f>IF(ISBLANK(E18),"",CONCATENATE(RIGHT(E18),"-",LEFT(E18)))</f>
      </c>
      <c r="D20" s="16">
        <f>IF(ISBLANK(E19),"",CONCATENATE(RIGHT(E19),"-",LEFT(E19)))</f>
      </c>
      <c r="E20" s="20"/>
      <c r="F20" s="7">
        <f>IF(COUNT(Y20:AA20)&gt;0,SUM(AK20:AM20),"")</f>
      </c>
      <c r="G20" s="7">
        <f>IF(COUNT(F20:F20)&gt;0,IF(SUM(F$18:F$20)&gt;0,RANK(F20,F$18:F$20,0),""),"")</f>
      </c>
      <c r="H20" s="17"/>
      <c r="I20" s="18" t="s">
        <v>59</v>
      </c>
      <c r="J20" s="4">
        <f>IF(SUM($F$7:$F$9)=3,INDEX($B$7:$B$9,MATCH(2,$G$7:$G$9,0)),"")</f>
      </c>
      <c r="K20" s="16">
        <f>IF(ISBLANK(M18),"",CONCATENATE(RIGHT(M18),"-",LEFT(M18)))</f>
      </c>
      <c r="L20" s="16">
        <f>IF(ISBLANK(M19),"",CONCATENATE(RIGHT(M19),"-",LEFT(M19)))</f>
      </c>
      <c r="M20" s="20"/>
      <c r="N20" s="7">
        <f>IF(COUNT(AC20:AE20)&gt;0,SUM(AO20:AQ20),"")</f>
      </c>
      <c r="O20" s="7">
        <f>IF(COUNT(N20:N20)&gt;0,IF(SUM(N$18:N$20)&gt;0,3+RANK(N20,N$18:N$20,0),""),"")</f>
      </c>
      <c r="Q20" s="18" t="s">
        <v>79</v>
      </c>
      <c r="R20" s="4">
        <f>IF(SUM($V$7:$V$9)=3,INDEX($R$7:$R$9,MATCH(3,$W$7:$W$9,0)),"")</f>
      </c>
      <c r="S20" s="16">
        <f>IF(ISBLANK(U18),"",CONCATENATE(RIGHT(U18),"-",LEFT(U18)))</f>
      </c>
      <c r="T20" s="16">
        <f>IF(ISBLANK(U19),"",CONCATENATE(RIGHT(U19),"-",LEFT(U19)))</f>
      </c>
      <c r="U20" s="20"/>
      <c r="V20" s="7">
        <f>IF(COUNT(AG20:AI20)&gt;0,SUM(AS20:AU20),"")</f>
      </c>
      <c r="W20" s="7">
        <f>IF(COUNT(V20:V20)&gt;0,IF(SUM(V$18:V$20)&gt;0,6+RANK(V20,V$18:V$20,0),""),"")</f>
      </c>
      <c r="Y20" s="21">
        <f t="shared" si="6"/>
      </c>
      <c r="Z20" s="21">
        <f t="shared" si="6"/>
      </c>
      <c r="AA20" s="21">
        <f t="shared" si="6"/>
      </c>
      <c r="AB20" s="55"/>
      <c r="AC20" s="21">
        <f t="shared" si="7"/>
      </c>
      <c r="AD20" s="21">
        <f t="shared" si="7"/>
      </c>
      <c r="AE20" s="21">
        <f t="shared" si="7"/>
      </c>
      <c r="AF20" s="55"/>
      <c r="AG20" s="21">
        <f t="shared" si="8"/>
      </c>
      <c r="AH20" s="21">
        <f t="shared" si="8"/>
      </c>
      <c r="AI20" s="21">
        <f t="shared" si="8"/>
      </c>
      <c r="AJ20" s="55"/>
      <c r="AK20" s="55">
        <f t="shared" si="9"/>
      </c>
      <c r="AL20" s="55">
        <f t="shared" si="9"/>
      </c>
      <c r="AM20" s="55">
        <f t="shared" si="9"/>
      </c>
      <c r="AN20" s="55"/>
      <c r="AO20" s="55">
        <f t="shared" si="10"/>
      </c>
      <c r="AP20" s="55">
        <f t="shared" si="10"/>
      </c>
      <c r="AQ20" s="55">
        <f t="shared" si="10"/>
      </c>
      <c r="AR20" s="55"/>
      <c r="AS20" s="55">
        <f t="shared" si="11"/>
      </c>
      <c r="AT20" s="55">
        <f t="shared" si="11"/>
      </c>
      <c r="AU20" s="55">
        <f t="shared" si="11"/>
      </c>
    </row>
    <row r="21" spans="1:23" ht="28.5" customHeight="1">
      <c r="A21" s="23"/>
      <c r="B21" s="24"/>
      <c r="C21" s="17"/>
      <c r="D21" s="17"/>
      <c r="F21" s="17"/>
      <c r="G21" s="17"/>
      <c r="H21" s="17"/>
      <c r="I21" s="23"/>
      <c r="J21" s="24"/>
      <c r="K21" s="17"/>
      <c r="L21" s="17"/>
      <c r="N21" s="17"/>
      <c r="O21" s="17"/>
      <c r="Q21" s="23"/>
      <c r="R21" s="24"/>
      <c r="S21" s="17"/>
      <c r="T21" s="17"/>
      <c r="V21" s="17"/>
      <c r="W21" s="17"/>
    </row>
    <row r="22" spans="1:23" ht="28.5" customHeight="1">
      <c r="A22" s="23"/>
      <c r="D22" s="17"/>
      <c r="F22" s="17"/>
      <c r="G22" s="17"/>
      <c r="H22" s="17"/>
      <c r="I22" s="23"/>
      <c r="J22" s="24" t="s">
        <v>7</v>
      </c>
      <c r="K22" s="17"/>
      <c r="L22" s="17"/>
      <c r="N22" s="17"/>
      <c r="O22" s="17"/>
      <c r="Q22" s="23"/>
      <c r="R22" s="24"/>
      <c r="S22" s="17"/>
      <c r="T22" s="17"/>
      <c r="V22" s="17"/>
      <c r="W22" s="17"/>
    </row>
    <row r="23" spans="4:23" ht="28.5" customHeight="1">
      <c r="D23" s="17"/>
      <c r="F23" s="17"/>
      <c r="G23" s="17"/>
      <c r="H23" s="17"/>
      <c r="I23" s="18" t="s">
        <v>80</v>
      </c>
      <c r="J23" s="19">
        <f>B20</f>
      </c>
      <c r="K23" s="3"/>
      <c r="L23" s="17"/>
      <c r="N23" s="17"/>
      <c r="O23" s="17"/>
      <c r="Q23" s="18" t="s">
        <v>83</v>
      </c>
      <c r="R23" s="19">
        <f>J20</f>
      </c>
      <c r="S23" s="3"/>
      <c r="T23" s="17"/>
      <c r="V23" s="17"/>
      <c r="W23" s="17"/>
    </row>
    <row r="24" spans="4:23" ht="28.5" customHeight="1">
      <c r="D24" s="17"/>
      <c r="F24" s="17"/>
      <c r="G24" s="17"/>
      <c r="H24" s="17"/>
      <c r="I24" s="18" t="s">
        <v>81</v>
      </c>
      <c r="J24" s="19">
        <f>J19</f>
      </c>
      <c r="K24" s="3"/>
      <c r="L24" s="17"/>
      <c r="N24" s="17"/>
      <c r="O24" s="17"/>
      <c r="Q24" s="18" t="s">
        <v>84</v>
      </c>
      <c r="R24" s="19">
        <f>R19</f>
      </c>
      <c r="S24" s="3"/>
      <c r="T24" s="17"/>
      <c r="V24" s="17"/>
      <c r="W24" s="17"/>
    </row>
    <row r="25" ht="28.5" customHeight="1"/>
    <row r="26" spans="1:19" ht="28.5" customHeight="1">
      <c r="A26" s="17"/>
      <c r="B26" s="27" t="s">
        <v>2</v>
      </c>
      <c r="C26" s="17"/>
      <c r="D26" s="17"/>
      <c r="E26" s="17"/>
      <c r="F26" s="17"/>
      <c r="G26" s="17"/>
      <c r="H26" s="17"/>
      <c r="I26" s="18" t="s">
        <v>8</v>
      </c>
      <c r="J26" s="19">
        <f>B19</f>
      </c>
      <c r="K26" s="3"/>
      <c r="L26" s="17"/>
      <c r="M26" s="17"/>
      <c r="N26" s="17"/>
      <c r="O26" s="17"/>
      <c r="P26" s="23"/>
      <c r="Q26" s="18" t="s">
        <v>81</v>
      </c>
      <c r="R26" s="51">
        <f>J19</f>
      </c>
      <c r="S26" s="3"/>
    </row>
    <row r="27" spans="1:19" ht="28.5" customHeight="1">
      <c r="A27" s="17"/>
      <c r="G27" s="17" t="s">
        <v>2</v>
      </c>
      <c r="H27" s="17"/>
      <c r="I27" s="18" t="s">
        <v>82</v>
      </c>
      <c r="J27" s="19">
        <f>J18</f>
      </c>
      <c r="K27" s="3"/>
      <c r="L27" s="17"/>
      <c r="M27" s="17"/>
      <c r="N27" s="17"/>
      <c r="O27" s="17"/>
      <c r="P27" s="17"/>
      <c r="Q27" s="18" t="s">
        <v>85</v>
      </c>
      <c r="R27" s="51">
        <f>R18</f>
      </c>
      <c r="S27" s="3"/>
    </row>
    <row r="28" ht="28.5" customHeight="1">
      <c r="R28" s="52"/>
    </row>
    <row r="29" spans="1:16" ht="28.5" customHeight="1">
      <c r="A29" s="23"/>
      <c r="B29" s="24"/>
      <c r="C29" s="17"/>
      <c r="D29" s="17"/>
      <c r="E29" s="17"/>
      <c r="F29" s="17"/>
      <c r="G29" s="17"/>
      <c r="H29" s="17"/>
      <c r="I29" s="23"/>
      <c r="J29" s="125" t="s">
        <v>9</v>
      </c>
      <c r="K29" s="126"/>
      <c r="L29" s="114" t="s">
        <v>96</v>
      </c>
      <c r="M29" s="115"/>
      <c r="N29" s="28" t="s">
        <v>96</v>
      </c>
      <c r="O29" s="28" t="s">
        <v>96</v>
      </c>
      <c r="P29" s="28" t="s">
        <v>96</v>
      </c>
    </row>
    <row r="30" spans="1:18" ht="28.5" customHeight="1">
      <c r="A30" s="23"/>
      <c r="B30" s="24"/>
      <c r="C30" s="17"/>
      <c r="D30" s="17"/>
      <c r="E30" s="17"/>
      <c r="F30" s="17"/>
      <c r="G30" s="17"/>
      <c r="H30" s="17"/>
      <c r="I30" s="23"/>
      <c r="J30" s="125" t="s">
        <v>2</v>
      </c>
      <c r="K30" s="126"/>
      <c r="L30" s="127" t="s">
        <v>35</v>
      </c>
      <c r="M30" s="128"/>
      <c r="N30" s="29" t="s">
        <v>39</v>
      </c>
      <c r="O30" s="29" t="s">
        <v>88</v>
      </c>
      <c r="P30" s="29" t="s">
        <v>91</v>
      </c>
      <c r="R30" s="53"/>
    </row>
    <row r="31" spans="1:16" ht="28.5" customHeight="1">
      <c r="A31" s="23"/>
      <c r="B31" s="24"/>
      <c r="C31" s="17"/>
      <c r="D31" s="17"/>
      <c r="E31" s="17"/>
      <c r="F31" s="17"/>
      <c r="G31" s="17"/>
      <c r="H31" s="17"/>
      <c r="I31" s="23"/>
      <c r="J31" s="125" t="s">
        <v>2</v>
      </c>
      <c r="K31" s="126"/>
      <c r="L31" s="127" t="s">
        <v>38</v>
      </c>
      <c r="M31" s="128"/>
      <c r="N31" s="29" t="s">
        <v>87</v>
      </c>
      <c r="O31" s="29" t="s">
        <v>89</v>
      </c>
      <c r="P31" s="29" t="s">
        <v>92</v>
      </c>
    </row>
    <row r="32" spans="1:16" ht="28.5" customHeight="1">
      <c r="A32" s="23"/>
      <c r="B32" s="24"/>
      <c r="C32" s="17"/>
      <c r="D32" s="17"/>
      <c r="E32" s="17"/>
      <c r="F32" s="17"/>
      <c r="G32" s="17"/>
      <c r="H32" s="17"/>
      <c r="I32" s="23"/>
      <c r="J32" s="125" t="s">
        <v>2</v>
      </c>
      <c r="K32" s="126"/>
      <c r="L32" s="127" t="s">
        <v>86</v>
      </c>
      <c r="M32" s="128"/>
      <c r="N32" s="29" t="s">
        <v>40</v>
      </c>
      <c r="O32" s="29" t="s">
        <v>90</v>
      </c>
      <c r="P32" s="29" t="s">
        <v>93</v>
      </c>
    </row>
    <row r="33" ht="28.5" customHeight="1"/>
    <row r="34" ht="28.5" customHeight="1">
      <c r="B34" s="18" t="s">
        <v>3</v>
      </c>
    </row>
    <row r="35" ht="28.5" customHeight="1">
      <c r="B35" s="18" t="s">
        <v>2</v>
      </c>
    </row>
    <row r="36" spans="2:5" ht="28.5" customHeight="1">
      <c r="B36" s="30">
        <f>IF(SUM($F$18:$F$20)=3,INDEX($B$18:$B$20,MATCH(1,$G$18:$G$20,0)),"")</f>
      </c>
      <c r="C36" s="3"/>
      <c r="E36" s="58">
        <f>IF(C36&gt;C37,"WINNER","")</f>
      </c>
    </row>
    <row r="37" spans="2:5" ht="28.5" customHeight="1">
      <c r="B37" s="30">
        <f>IF(SUM($F$18:$F$20)=3,INDEX($B$18:$B$20,MATCH(2,$G$18:$G$20,0)),"")</f>
      </c>
      <c r="C37" s="3"/>
      <c r="E37" s="58">
        <f>IF(C37&gt;C36,"WINNER","")</f>
      </c>
    </row>
    <row r="40" ht="12.75">
      <c r="B40" s="31" t="s">
        <v>30</v>
      </c>
    </row>
    <row r="41" ht="12.75">
      <c r="B41" s="31"/>
    </row>
    <row r="42" ht="12.75">
      <c r="B42" s="32" t="s">
        <v>94</v>
      </c>
    </row>
    <row r="43" ht="12.75">
      <c r="B43" s="6" t="s">
        <v>95</v>
      </c>
    </row>
  </sheetData>
  <mergeCells count="19">
    <mergeCell ref="A5:W5"/>
    <mergeCell ref="A16:W16"/>
    <mergeCell ref="J11:K11"/>
    <mergeCell ref="J12:K12"/>
    <mergeCell ref="J13:K13"/>
    <mergeCell ref="L12:M12"/>
    <mergeCell ref="L13:M13"/>
    <mergeCell ref="J14:K14"/>
    <mergeCell ref="L11:M11"/>
    <mergeCell ref="L29:M29"/>
    <mergeCell ref="A1:W1"/>
    <mergeCell ref="J32:K32"/>
    <mergeCell ref="L32:M32"/>
    <mergeCell ref="J29:K29"/>
    <mergeCell ref="J30:K30"/>
    <mergeCell ref="L30:M30"/>
    <mergeCell ref="J31:K31"/>
    <mergeCell ref="L31:M31"/>
    <mergeCell ref="L14:M14"/>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scale="55" r:id="rId1"/>
</worksheet>
</file>

<file path=xl/worksheets/sheet17.xml><?xml version="1.0" encoding="utf-8"?>
<worksheet xmlns="http://schemas.openxmlformats.org/spreadsheetml/2006/main" xmlns:r="http://schemas.openxmlformats.org/officeDocument/2006/relationships">
  <dimension ref="A1:Q15"/>
  <sheetViews>
    <sheetView workbookViewId="0" topLeftCell="A9">
      <selection activeCell="A17" sqref="A17"/>
    </sheetView>
  </sheetViews>
  <sheetFormatPr defaultColWidth="9.140625" defaultRowHeight="12.75"/>
  <cols>
    <col min="1" max="1" width="4.7109375" style="6" customWidth="1"/>
    <col min="2" max="2" width="20.7109375" style="6" customWidth="1"/>
    <col min="3" max="6" width="5.7109375" style="6" customWidth="1"/>
    <col min="7" max="8" width="8.7109375" style="6" customWidth="1"/>
    <col min="9" max="17" width="3.7109375" style="6" customWidth="1"/>
    <col min="18" max="16384" width="9.140625" style="6" customWidth="1"/>
  </cols>
  <sheetData>
    <row r="1" spans="1:8" ht="28.5" customHeight="1">
      <c r="A1" s="103" t="str">
        <f>Control!$A$1</f>
        <v>2006 New Zealand Championships</v>
      </c>
      <c r="B1" s="103"/>
      <c r="C1" s="103"/>
      <c r="D1" s="103"/>
      <c r="E1" s="103"/>
      <c r="F1" s="103"/>
      <c r="G1" s="103"/>
      <c r="H1" s="103"/>
    </row>
    <row r="2" spans="1:12" ht="28.5" customHeight="1">
      <c r="A2" s="122" t="str">
        <f>J2</f>
        <v>3/4 team grade without final</v>
      </c>
      <c r="B2" s="123"/>
      <c r="C2" s="123"/>
      <c r="D2" s="123"/>
      <c r="E2" s="123"/>
      <c r="F2" s="123"/>
      <c r="G2" s="123"/>
      <c r="H2" s="123"/>
      <c r="J2" s="59" t="s">
        <v>105</v>
      </c>
      <c r="K2" s="59" t="s">
        <v>99</v>
      </c>
      <c r="L2" s="59" t="s">
        <v>153</v>
      </c>
    </row>
    <row r="3" spans="1:8" ht="28.5" customHeight="1">
      <c r="A3" s="122" t="str">
        <f>K2</f>
        <v>Shield name</v>
      </c>
      <c r="B3" s="123"/>
      <c r="C3" s="123"/>
      <c r="D3" s="123"/>
      <c r="E3" s="123"/>
      <c r="F3" s="123"/>
      <c r="G3" s="123"/>
      <c r="H3" s="123"/>
    </row>
    <row r="4" spans="1:8" ht="28.5" customHeight="1">
      <c r="A4" s="17"/>
      <c r="B4" s="17"/>
      <c r="C4" s="17"/>
      <c r="D4" s="17"/>
      <c r="E4" s="17"/>
      <c r="F4" s="17"/>
      <c r="G4" s="17"/>
      <c r="H4" s="17"/>
    </row>
    <row r="5" spans="1:11" ht="28.5" customHeight="1">
      <c r="A5" s="17"/>
      <c r="B5" s="17"/>
      <c r="C5" s="18">
        <v>1</v>
      </c>
      <c r="D5" s="18">
        <v>2</v>
      </c>
      <c r="E5" s="18">
        <v>3</v>
      </c>
      <c r="F5" s="18">
        <v>4</v>
      </c>
      <c r="G5" s="18" t="s">
        <v>0</v>
      </c>
      <c r="H5" s="18" t="s">
        <v>1</v>
      </c>
      <c r="J5" s="55" t="s">
        <v>2</v>
      </c>
      <c r="K5" s="55">
        <f>INT(L2/2)</f>
        <v>4</v>
      </c>
    </row>
    <row r="6" spans="1:17" ht="28.5" customHeight="1">
      <c r="A6" s="18">
        <v>1</v>
      </c>
      <c r="B6" s="19" t="s">
        <v>2</v>
      </c>
      <c r="C6" s="20"/>
      <c r="D6" s="3"/>
      <c r="E6" s="3"/>
      <c r="F6" s="3"/>
      <c r="G6" s="7">
        <f>IF(COUNT(J6:M6)&gt;0,SUM(N6:Q6),"")</f>
      </c>
      <c r="H6" s="7">
        <f>IF(COUNT(G6:G6)&gt;0,IF(SUM(G$6:G$9)&gt;0,RANK(G6,G$6:G$9,0),""),"")</f>
      </c>
      <c r="J6" s="21">
        <f>IF(C6="","",VALUE(LEFT(C6)))</f>
      </c>
      <c r="K6" s="21">
        <f aca="true" t="shared" si="0" ref="K6:M9">IF(D6="","",VALUE(LEFT(D6)))</f>
      </c>
      <c r="L6" s="21">
        <f t="shared" si="0"/>
      </c>
      <c r="M6" s="21">
        <f t="shared" si="0"/>
      </c>
      <c r="N6" s="21">
        <f>IF(C6="","",IF(J6&gt;$K$5,1,""))</f>
      </c>
      <c r="O6" s="21">
        <f aca="true" t="shared" si="1" ref="O6:Q9">IF(D6="","",IF(K6&gt;$K$5,1,""))</f>
      </c>
      <c r="P6" s="21">
        <f t="shared" si="1"/>
      </c>
      <c r="Q6" s="21">
        <f t="shared" si="1"/>
      </c>
    </row>
    <row r="7" spans="1:17" ht="28.5" customHeight="1">
      <c r="A7" s="18">
        <v>2</v>
      </c>
      <c r="B7" s="19" t="s">
        <v>2</v>
      </c>
      <c r="C7" s="22">
        <f>IF(ISBLANK(D6),"",CONCATENATE(RIGHT(D6),"-",LEFT(D6)))</f>
      </c>
      <c r="D7" s="20"/>
      <c r="E7" s="3"/>
      <c r="F7" s="3"/>
      <c r="G7" s="7">
        <f>IF(COUNT(J7:M7)&gt;0,SUM(N7:Q7),"")</f>
      </c>
      <c r="H7" s="7">
        <f>IF(COUNT(G7:G7)&gt;0,IF(SUM(G$6:G$9)&gt;0,RANK(G7,G$6:G$9,0),""),"")</f>
      </c>
      <c r="J7" s="21">
        <f>IF(C7="","",VALUE(LEFT(C7)))</f>
      </c>
      <c r="K7" s="21">
        <f t="shared" si="0"/>
      </c>
      <c r="L7" s="21">
        <f t="shared" si="0"/>
      </c>
      <c r="M7" s="21">
        <f t="shared" si="0"/>
      </c>
      <c r="N7" s="21">
        <f>IF(C7="","",IF(J7&gt;$K$5,1,""))</f>
      </c>
      <c r="O7" s="21">
        <f t="shared" si="1"/>
      </c>
      <c r="P7" s="21">
        <f t="shared" si="1"/>
      </c>
      <c r="Q7" s="21">
        <f t="shared" si="1"/>
      </c>
    </row>
    <row r="8" spans="1:17" ht="28.5" customHeight="1">
      <c r="A8" s="18">
        <v>3</v>
      </c>
      <c r="B8" s="19" t="s">
        <v>2</v>
      </c>
      <c r="C8" s="16">
        <f>IF(ISBLANK(E6),"",CONCATENATE(RIGHT(E6),"-",LEFT(E6)))</f>
      </c>
      <c r="D8" s="22">
        <f>IF(ISBLANK(E7),"",CONCATENATE(RIGHT(E7),"-",LEFT(E7)))</f>
      </c>
      <c r="E8" s="20"/>
      <c r="F8" s="3"/>
      <c r="G8" s="7">
        <f>IF(COUNT(J8:M8)&gt;0,SUM(N8:Q8),"")</f>
      </c>
      <c r="H8" s="7">
        <f>IF(COUNT(G8:G8)&gt;0,IF(SUM(G$6:G$9)&gt;0,RANK(G8,G$6:G$9,0),""),"")</f>
      </c>
      <c r="J8" s="21">
        <f>IF(C8="","",VALUE(LEFT(C8)))</f>
      </c>
      <c r="K8" s="21">
        <f t="shared" si="0"/>
      </c>
      <c r="L8" s="21">
        <f t="shared" si="0"/>
      </c>
      <c r="M8" s="21">
        <f t="shared" si="0"/>
      </c>
      <c r="N8" s="21">
        <f>IF(C8="","",IF(J8&gt;$K$5,1,""))</f>
      </c>
      <c r="O8" s="21">
        <f t="shared" si="1"/>
      </c>
      <c r="P8" s="21">
        <f t="shared" si="1"/>
      </c>
      <c r="Q8" s="21">
        <f t="shared" si="1"/>
      </c>
    </row>
    <row r="9" spans="1:17" ht="28.5" customHeight="1">
      <c r="A9" s="18">
        <v>4</v>
      </c>
      <c r="B9" s="19" t="s">
        <v>2</v>
      </c>
      <c r="C9" s="16">
        <f>IF(ISBLANK(F6),"",CONCATENATE(RIGHT(F6),"-",LEFT(F6)))</f>
      </c>
      <c r="D9" s="16">
        <f>IF(ISBLANK(F7),"",CONCATENATE(RIGHT(F7),"-",LEFT(F7)))</f>
      </c>
      <c r="E9" s="22">
        <f>IF(ISBLANK(F8),"",CONCATENATE(RIGHT(F8),"-",LEFT(F8)))</f>
      </c>
      <c r="F9" s="20"/>
      <c r="G9" s="7">
        <f>IF(COUNT(J9:M9)&gt;0,SUM(N9:Q9),"")</f>
      </c>
      <c r="H9" s="7">
        <f>IF(COUNT(G9:G9)&gt;0,IF(SUM(G$6:G$9)&gt;0,RANK(G9,G$6:G$9,0),""),"")</f>
      </c>
      <c r="J9" s="21">
        <f>IF(C9="","",VALUE(LEFT(C9)))</f>
      </c>
      <c r="K9" s="21">
        <f t="shared" si="0"/>
      </c>
      <c r="L9" s="21">
        <f t="shared" si="0"/>
      </c>
      <c r="M9" s="21">
        <f t="shared" si="0"/>
      </c>
      <c r="N9" s="21">
        <f>IF(C9="","",IF(J9&gt;$K$5,1,""))</f>
      </c>
      <c r="O9" s="21">
        <f t="shared" si="1"/>
      </c>
      <c r="P9" s="21">
        <f t="shared" si="1"/>
      </c>
      <c r="Q9" s="21">
        <f t="shared" si="1"/>
      </c>
    </row>
    <row r="10" spans="1:8" ht="28.5" customHeight="1">
      <c r="A10" s="23"/>
      <c r="B10" s="24"/>
      <c r="C10" s="25"/>
      <c r="D10" s="25"/>
      <c r="E10" s="25"/>
      <c r="F10" s="25"/>
      <c r="G10" s="25"/>
      <c r="H10" s="25"/>
    </row>
    <row r="11" spans="1:8" ht="28.5" customHeight="1">
      <c r="A11" s="17"/>
      <c r="B11" s="17"/>
      <c r="C11" s="17"/>
      <c r="D11" s="17"/>
      <c r="E11" s="17"/>
      <c r="F11" s="17"/>
      <c r="G11" s="17"/>
      <c r="H11" s="17"/>
    </row>
    <row r="12" spans="1:8" ht="28.5" customHeight="1">
      <c r="A12" s="17"/>
      <c r="B12" s="26" t="s">
        <v>9</v>
      </c>
      <c r="C12" s="116" t="s">
        <v>96</v>
      </c>
      <c r="D12" s="116"/>
      <c r="E12" s="114" t="s">
        <v>96</v>
      </c>
      <c r="F12" s="115"/>
      <c r="G12" s="27"/>
      <c r="H12" s="17"/>
    </row>
    <row r="13" spans="1:8" ht="28.5" customHeight="1">
      <c r="A13" s="17"/>
      <c r="B13" s="28" t="s">
        <v>2</v>
      </c>
      <c r="C13" s="108" t="s">
        <v>23</v>
      </c>
      <c r="D13" s="108"/>
      <c r="E13" s="108" t="s">
        <v>24</v>
      </c>
      <c r="F13" s="108"/>
      <c r="G13" s="17"/>
      <c r="H13" s="17"/>
    </row>
    <row r="14" spans="1:8" ht="28.5" customHeight="1">
      <c r="A14" s="17"/>
      <c r="B14" s="28" t="s">
        <v>2</v>
      </c>
      <c r="C14" s="108" t="s">
        <v>12</v>
      </c>
      <c r="D14" s="108"/>
      <c r="E14" s="108" t="s">
        <v>10</v>
      </c>
      <c r="F14" s="108"/>
      <c r="G14" s="17"/>
      <c r="H14" s="17"/>
    </row>
    <row r="15" spans="1:8" ht="28.5" customHeight="1">
      <c r="A15" s="17"/>
      <c r="B15" s="28" t="s">
        <v>2</v>
      </c>
      <c r="C15" s="108" t="s">
        <v>14</v>
      </c>
      <c r="D15" s="108"/>
      <c r="E15" s="108" t="s">
        <v>18</v>
      </c>
      <c r="F15" s="108"/>
      <c r="G15" s="17"/>
      <c r="H15" s="17"/>
    </row>
    <row r="16" ht="28.5" customHeight="1"/>
  </sheetData>
  <mergeCells count="11">
    <mergeCell ref="A1:H1"/>
    <mergeCell ref="C12:D12"/>
    <mergeCell ref="E12:F12"/>
    <mergeCell ref="A3:H3"/>
    <mergeCell ref="A2:H2"/>
    <mergeCell ref="E13:F13"/>
    <mergeCell ref="E14:F14"/>
    <mergeCell ref="E15:F15"/>
    <mergeCell ref="C13:D13"/>
    <mergeCell ref="C14:D14"/>
    <mergeCell ref="C15:D15"/>
  </mergeCells>
  <printOptions horizontalCentered="1"/>
  <pageMargins left="0.7874015748031497" right="0.7874015748031497" top="1.1811023622047245" bottom="0.7874015748031497" header="0.3937007874015748" footer="0.3937007874015748"/>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W25"/>
  <sheetViews>
    <sheetView workbookViewId="0" topLeftCell="A1">
      <selection activeCell="A17" sqref="A17"/>
    </sheetView>
  </sheetViews>
  <sheetFormatPr defaultColWidth="9.140625" defaultRowHeight="12.75"/>
  <cols>
    <col min="1" max="1" width="4.7109375" style="6" customWidth="1"/>
    <col min="2" max="2" width="20.7109375" style="6" customWidth="1"/>
    <col min="3" max="8" width="5.7109375" style="6" customWidth="1"/>
    <col min="9" max="10" width="8.7109375" style="6" customWidth="1"/>
    <col min="11" max="23" width="3.7109375" style="6" customWidth="1"/>
    <col min="24" max="16384" width="9.140625" style="6" customWidth="1"/>
  </cols>
  <sheetData>
    <row r="1" spans="1:10" ht="28.5" customHeight="1">
      <c r="A1" s="112" t="str">
        <f>Control!$A$1</f>
        <v>2006 New Zealand Championships</v>
      </c>
      <c r="B1" s="112"/>
      <c r="C1" s="112"/>
      <c r="D1" s="112"/>
      <c r="E1" s="112"/>
      <c r="F1" s="112"/>
      <c r="G1" s="112"/>
      <c r="H1" s="112"/>
      <c r="I1" s="112"/>
      <c r="J1" s="112"/>
    </row>
    <row r="2" spans="1:14" ht="28.5" customHeight="1">
      <c r="A2" s="33" t="str">
        <f>L2</f>
        <v>5/6 team grade without final</v>
      </c>
      <c r="B2" s="34"/>
      <c r="C2" s="34"/>
      <c r="D2" s="34"/>
      <c r="E2" s="34"/>
      <c r="F2" s="34"/>
      <c r="G2" s="34"/>
      <c r="H2" s="34"/>
      <c r="I2" s="34"/>
      <c r="J2" s="34"/>
      <c r="L2" s="57" t="s">
        <v>102</v>
      </c>
      <c r="M2" s="57" t="s">
        <v>99</v>
      </c>
      <c r="N2" s="58">
        <v>9</v>
      </c>
    </row>
    <row r="3" spans="1:10" ht="28.5" customHeight="1">
      <c r="A3" s="33" t="str">
        <f>M2</f>
        <v>Shield name</v>
      </c>
      <c r="B3" s="34"/>
      <c r="C3" s="34"/>
      <c r="D3" s="34"/>
      <c r="E3" s="34"/>
      <c r="F3" s="34"/>
      <c r="G3" s="34"/>
      <c r="H3" s="34"/>
      <c r="I3" s="34"/>
      <c r="J3" s="34"/>
    </row>
    <row r="4" spans="1:10" ht="28.5" customHeight="1">
      <c r="A4" s="17"/>
      <c r="B4" s="17"/>
      <c r="C4" s="17"/>
      <c r="D4" s="17"/>
      <c r="E4" s="17"/>
      <c r="F4" s="17"/>
      <c r="G4" s="17"/>
      <c r="H4" s="17"/>
      <c r="I4" s="17"/>
      <c r="J4" s="17"/>
    </row>
    <row r="5" spans="1:13" ht="28.5" customHeight="1">
      <c r="A5" s="17"/>
      <c r="B5" s="17"/>
      <c r="C5" s="18">
        <v>1</v>
      </c>
      <c r="D5" s="18">
        <v>2</v>
      </c>
      <c r="E5" s="18">
        <v>3</v>
      </c>
      <c r="F5" s="18">
        <v>4</v>
      </c>
      <c r="G5" s="18">
        <v>5</v>
      </c>
      <c r="H5" s="18">
        <v>6</v>
      </c>
      <c r="I5" s="18" t="s">
        <v>0</v>
      </c>
      <c r="J5" s="18" t="s">
        <v>1</v>
      </c>
      <c r="L5" s="21" t="s">
        <v>2</v>
      </c>
      <c r="M5" s="55">
        <f>INT(N2/2)</f>
        <v>4</v>
      </c>
    </row>
    <row r="6" spans="1:23" ht="28.5" customHeight="1">
      <c r="A6" s="18">
        <v>1</v>
      </c>
      <c r="B6" s="35" t="s">
        <v>2</v>
      </c>
      <c r="C6" s="20"/>
      <c r="D6" s="3"/>
      <c r="E6" s="3"/>
      <c r="F6" s="3"/>
      <c r="G6" s="3"/>
      <c r="H6" s="3"/>
      <c r="I6" s="7">
        <f aca="true" t="shared" si="0" ref="I6:I11">IF(COUNT(L6:Q6)&gt;0,SUM(R6:W6),"")</f>
      </c>
      <c r="J6" s="7">
        <f aca="true" t="shared" si="1" ref="J6:J11">IF(COUNT(I6:I6)&gt;0,IF(SUM(I$6:I$11)&gt;0,RANK(I6,I$6:I$11,0),""),"")</f>
      </c>
      <c r="L6" s="21">
        <f aca="true" t="shared" si="2" ref="L6:L11">IF(C6="","",VALUE(LEFT(C6)))</f>
      </c>
      <c r="M6" s="21">
        <f aca="true" t="shared" si="3" ref="M6:Q11">IF(D6="","",VALUE(LEFT(D6)))</f>
      </c>
      <c r="N6" s="21">
        <f t="shared" si="3"/>
      </c>
      <c r="O6" s="21">
        <f t="shared" si="3"/>
      </c>
      <c r="P6" s="21">
        <f t="shared" si="3"/>
      </c>
      <c r="Q6" s="21">
        <f t="shared" si="3"/>
      </c>
      <c r="R6" s="55">
        <f aca="true" t="shared" si="4" ref="R6:R11">IF(C6="","",IF(L6&gt;$M$5,1,""))</f>
      </c>
      <c r="S6" s="55">
        <f aca="true" t="shared" si="5" ref="S6:W11">IF(D6="","",IF(M6&gt;$M$5,1,""))</f>
      </c>
      <c r="T6" s="55">
        <f t="shared" si="5"/>
      </c>
      <c r="U6" s="55">
        <f t="shared" si="5"/>
      </c>
      <c r="V6" s="55">
        <f t="shared" si="5"/>
      </c>
      <c r="W6" s="55">
        <f t="shared" si="5"/>
      </c>
    </row>
    <row r="7" spans="1:23" ht="28.5" customHeight="1">
      <c r="A7" s="18">
        <v>2</v>
      </c>
      <c r="B7" s="35" t="s">
        <v>2</v>
      </c>
      <c r="C7" s="22">
        <f>IF(ISBLANK(D6),"",CONCATENATE(RIGHT(D6),"-",LEFT(D6)))</f>
      </c>
      <c r="D7" s="20"/>
      <c r="E7" s="3"/>
      <c r="F7" s="3"/>
      <c r="G7" s="3"/>
      <c r="H7" s="3"/>
      <c r="I7" s="7">
        <f t="shared" si="0"/>
      </c>
      <c r="J7" s="7">
        <f t="shared" si="1"/>
      </c>
      <c r="L7" s="21">
        <f t="shared" si="2"/>
      </c>
      <c r="M7" s="21">
        <f t="shared" si="3"/>
      </c>
      <c r="N7" s="21">
        <f t="shared" si="3"/>
      </c>
      <c r="O7" s="21">
        <f t="shared" si="3"/>
      </c>
      <c r="P7" s="21">
        <f t="shared" si="3"/>
      </c>
      <c r="Q7" s="21">
        <f t="shared" si="3"/>
      </c>
      <c r="R7" s="55">
        <f t="shared" si="4"/>
      </c>
      <c r="S7" s="55">
        <f t="shared" si="5"/>
      </c>
      <c r="T7" s="55">
        <f t="shared" si="5"/>
      </c>
      <c r="U7" s="55">
        <f t="shared" si="5"/>
      </c>
      <c r="V7" s="55">
        <f t="shared" si="5"/>
      </c>
      <c r="W7" s="55">
        <f t="shared" si="5"/>
      </c>
    </row>
    <row r="8" spans="1:23" ht="28.5" customHeight="1">
      <c r="A8" s="18">
        <v>3</v>
      </c>
      <c r="B8" s="19" t="s">
        <v>2</v>
      </c>
      <c r="C8" s="16">
        <f>IF(ISBLANK(E6),"",CONCATENATE(RIGHT(E6),"-",LEFT(E6)))</f>
      </c>
      <c r="D8" s="22">
        <f>IF(ISBLANK(E7),"",CONCATENATE(RIGHT(E7),"-",LEFT(E7)))</f>
      </c>
      <c r="E8" s="20"/>
      <c r="F8" s="3"/>
      <c r="G8" s="3"/>
      <c r="H8" s="3"/>
      <c r="I8" s="7">
        <f t="shared" si="0"/>
      </c>
      <c r="J8" s="7">
        <f t="shared" si="1"/>
      </c>
      <c r="L8" s="21">
        <f t="shared" si="2"/>
      </c>
      <c r="M8" s="21">
        <f t="shared" si="3"/>
      </c>
      <c r="N8" s="21">
        <f t="shared" si="3"/>
      </c>
      <c r="O8" s="21">
        <f t="shared" si="3"/>
      </c>
      <c r="P8" s="21">
        <f t="shared" si="3"/>
      </c>
      <c r="Q8" s="21">
        <f t="shared" si="3"/>
      </c>
      <c r="R8" s="55">
        <f t="shared" si="4"/>
      </c>
      <c r="S8" s="55">
        <f t="shared" si="5"/>
      </c>
      <c r="T8" s="55">
        <f t="shared" si="5"/>
      </c>
      <c r="U8" s="55">
        <f t="shared" si="5"/>
      </c>
      <c r="V8" s="55">
        <f t="shared" si="5"/>
      </c>
      <c r="W8" s="55">
        <f t="shared" si="5"/>
      </c>
    </row>
    <row r="9" spans="1:23" ht="28.5" customHeight="1">
      <c r="A9" s="18">
        <v>4</v>
      </c>
      <c r="B9" s="35" t="s">
        <v>2</v>
      </c>
      <c r="C9" s="16">
        <f>IF(ISBLANK(F6),"",CONCATENATE(RIGHT(F6),"-",LEFT(F6)))</f>
      </c>
      <c r="D9" s="16">
        <f>IF(ISBLANK(F7),"",CONCATENATE(RIGHT(F7),"-",LEFT(F7)))</f>
      </c>
      <c r="E9" s="22">
        <f>IF(ISBLANK(F8),"",CONCATENATE(RIGHT(F8),"-",LEFT(F8)))</f>
      </c>
      <c r="F9" s="20"/>
      <c r="G9" s="3"/>
      <c r="H9" s="3"/>
      <c r="I9" s="7">
        <f t="shared" si="0"/>
      </c>
      <c r="J9" s="7">
        <f t="shared" si="1"/>
      </c>
      <c r="L9" s="21">
        <f t="shared" si="2"/>
      </c>
      <c r="M9" s="21">
        <f t="shared" si="3"/>
      </c>
      <c r="N9" s="21">
        <f t="shared" si="3"/>
      </c>
      <c r="O9" s="21">
        <f t="shared" si="3"/>
      </c>
      <c r="P9" s="21">
        <f t="shared" si="3"/>
      </c>
      <c r="Q9" s="21">
        <f t="shared" si="3"/>
      </c>
      <c r="R9" s="55">
        <f t="shared" si="4"/>
      </c>
      <c r="S9" s="55">
        <f t="shared" si="5"/>
      </c>
      <c r="T9" s="55">
        <f t="shared" si="5"/>
      </c>
      <c r="U9" s="55">
        <f t="shared" si="5"/>
      </c>
      <c r="V9" s="55">
        <f t="shared" si="5"/>
      </c>
      <c r="W9" s="55">
        <f t="shared" si="5"/>
      </c>
    </row>
    <row r="10" spans="1:23" ht="28.5" customHeight="1">
      <c r="A10" s="18">
        <v>5</v>
      </c>
      <c r="B10" s="35" t="s">
        <v>2</v>
      </c>
      <c r="C10" s="16">
        <f>IF(ISBLANK(G6),"",CONCATENATE(RIGHT(G6),"-",LEFT(G6)))</f>
      </c>
      <c r="D10" s="16">
        <f>IF(ISBLANK(G7),"",CONCATENATE(RIGHT(G7),"-",LEFT(G7)))</f>
      </c>
      <c r="E10" s="16">
        <f>IF(ISBLANK(G8),"",CONCATENATE(RIGHT(G8),"-",LEFT(G8)))</f>
      </c>
      <c r="F10" s="22">
        <f>IF(ISBLANK(G9),"",CONCATENATE(RIGHT(G9),"-",LEFT(G9)))</f>
      </c>
      <c r="G10" s="20"/>
      <c r="H10" s="3"/>
      <c r="I10" s="7">
        <f t="shared" si="0"/>
      </c>
      <c r="J10" s="7">
        <f t="shared" si="1"/>
      </c>
      <c r="L10" s="21">
        <f t="shared" si="2"/>
      </c>
      <c r="M10" s="21">
        <f t="shared" si="3"/>
      </c>
      <c r="N10" s="21">
        <f t="shared" si="3"/>
      </c>
      <c r="O10" s="21">
        <f t="shared" si="3"/>
      </c>
      <c r="P10" s="21">
        <f t="shared" si="3"/>
      </c>
      <c r="Q10" s="21">
        <f t="shared" si="3"/>
      </c>
      <c r="R10" s="55">
        <f t="shared" si="4"/>
      </c>
      <c r="S10" s="55">
        <f t="shared" si="5"/>
      </c>
      <c r="T10" s="55">
        <f t="shared" si="5"/>
      </c>
      <c r="U10" s="55">
        <f t="shared" si="5"/>
      </c>
      <c r="V10" s="55">
        <f t="shared" si="5"/>
      </c>
      <c r="W10" s="55">
        <f t="shared" si="5"/>
      </c>
    </row>
    <row r="11" spans="1:23" ht="28.5" customHeight="1">
      <c r="A11" s="18">
        <v>6</v>
      </c>
      <c r="B11" s="35" t="s">
        <v>2</v>
      </c>
      <c r="C11" s="16">
        <f>IF(ISBLANK(H6),"",CONCATENATE(RIGHT(H6),"-",LEFT(H6)))</f>
      </c>
      <c r="D11" s="16">
        <f>IF(ISBLANK(H7),"",CONCATENATE(RIGHT(H7),"-",LEFT(H7)))</f>
      </c>
      <c r="E11" s="16">
        <f>IF(ISBLANK(H8),"",CONCATENATE(RIGHT(H8),"-",LEFT(H8)))</f>
      </c>
      <c r="F11" s="16">
        <f>IF(ISBLANK(H9),"",CONCATENATE(RIGHT(H9),"-",LEFT(H9)))</f>
      </c>
      <c r="G11" s="22">
        <f>IF(ISBLANK(H10),"",CONCATENATE(RIGHT(H10),"-",LEFT(H10)))</f>
      </c>
      <c r="H11" s="20"/>
      <c r="I11" s="7">
        <f t="shared" si="0"/>
      </c>
      <c r="J11" s="7">
        <f t="shared" si="1"/>
      </c>
      <c r="L11" s="21">
        <f t="shared" si="2"/>
      </c>
      <c r="M11" s="21">
        <f t="shared" si="3"/>
      </c>
      <c r="N11" s="21">
        <f t="shared" si="3"/>
      </c>
      <c r="O11" s="21">
        <f t="shared" si="3"/>
      </c>
      <c r="P11" s="21">
        <f t="shared" si="3"/>
      </c>
      <c r="Q11" s="21">
        <f t="shared" si="3"/>
      </c>
      <c r="R11" s="55">
        <f t="shared" si="4"/>
      </c>
      <c r="S11" s="55">
        <f t="shared" si="5"/>
      </c>
      <c r="T11" s="55">
        <f t="shared" si="5"/>
      </c>
      <c r="U11" s="55">
        <f t="shared" si="5"/>
      </c>
      <c r="V11" s="55">
        <f t="shared" si="5"/>
      </c>
      <c r="W11" s="55">
        <f t="shared" si="5"/>
      </c>
    </row>
    <row r="12" spans="1:10" ht="28.5" customHeight="1">
      <c r="A12" s="23"/>
      <c r="B12" s="24"/>
      <c r="C12" s="25"/>
      <c r="D12" s="25"/>
      <c r="E12" s="25"/>
      <c r="F12" s="25"/>
      <c r="G12" s="25"/>
      <c r="I12" s="25"/>
      <c r="J12" s="25"/>
    </row>
    <row r="13" spans="1:10" ht="28.5" customHeight="1">
      <c r="A13" s="17"/>
      <c r="B13" s="26" t="s">
        <v>9</v>
      </c>
      <c r="C13" s="116" t="s">
        <v>96</v>
      </c>
      <c r="D13" s="116"/>
      <c r="E13" s="114" t="s">
        <v>96</v>
      </c>
      <c r="F13" s="115"/>
      <c r="G13" s="116" t="s">
        <v>96</v>
      </c>
      <c r="H13" s="115"/>
      <c r="I13" s="27"/>
      <c r="J13" s="17"/>
    </row>
    <row r="14" spans="1:10" ht="28.5" customHeight="1">
      <c r="A14" s="17"/>
      <c r="B14" s="28" t="s">
        <v>2</v>
      </c>
      <c r="C14" s="108" t="s">
        <v>22</v>
      </c>
      <c r="D14" s="108"/>
      <c r="E14" s="108" t="s">
        <v>28</v>
      </c>
      <c r="F14" s="108"/>
      <c r="G14" s="108" t="s">
        <v>25</v>
      </c>
      <c r="H14" s="108"/>
      <c r="I14" s="17"/>
      <c r="J14" s="17"/>
    </row>
    <row r="15" spans="1:10" ht="28.5" customHeight="1">
      <c r="A15" s="17"/>
      <c r="B15" s="28" t="s">
        <v>2</v>
      </c>
      <c r="C15" s="108" t="s">
        <v>11</v>
      </c>
      <c r="D15" s="108"/>
      <c r="E15" s="108" t="s">
        <v>15</v>
      </c>
      <c r="F15" s="108"/>
      <c r="G15" s="108" t="s">
        <v>19</v>
      </c>
      <c r="H15" s="108"/>
      <c r="I15" s="17"/>
      <c r="J15" s="17"/>
    </row>
    <row r="16" spans="1:10" ht="28.5" customHeight="1">
      <c r="A16" s="17"/>
      <c r="B16" s="28" t="s">
        <v>2</v>
      </c>
      <c r="C16" s="108" t="s">
        <v>12</v>
      </c>
      <c r="D16" s="108"/>
      <c r="E16" s="108" t="s">
        <v>16</v>
      </c>
      <c r="F16" s="108"/>
      <c r="G16" s="108" t="s">
        <v>29</v>
      </c>
      <c r="H16" s="108"/>
      <c r="I16" s="17"/>
      <c r="J16" s="17"/>
    </row>
    <row r="17" spans="1:10" ht="28.5" customHeight="1">
      <c r="A17" s="17"/>
      <c r="B17" s="28" t="s">
        <v>2</v>
      </c>
      <c r="C17" s="108" t="s">
        <v>13</v>
      </c>
      <c r="D17" s="108"/>
      <c r="E17" s="108" t="s">
        <v>17</v>
      </c>
      <c r="F17" s="108"/>
      <c r="G17" s="108" t="s">
        <v>20</v>
      </c>
      <c r="H17" s="108"/>
      <c r="I17" s="17"/>
      <c r="J17" s="17"/>
    </row>
    <row r="18" spans="2:8" ht="28.5" customHeight="1">
      <c r="B18" s="28" t="s">
        <v>2</v>
      </c>
      <c r="C18" s="108" t="s">
        <v>14</v>
      </c>
      <c r="D18" s="108"/>
      <c r="E18" s="108" t="s">
        <v>18</v>
      </c>
      <c r="F18" s="108"/>
      <c r="G18" s="108" t="s">
        <v>21</v>
      </c>
      <c r="H18" s="108"/>
    </row>
    <row r="19" ht="28.5" customHeight="1"/>
    <row r="22" ht="12.75">
      <c r="B22" s="31" t="s">
        <v>30</v>
      </c>
    </row>
    <row r="23" ht="12.75">
      <c r="B23" s="31"/>
    </row>
    <row r="24" ht="12.75">
      <c r="B24" s="32" t="s">
        <v>70</v>
      </c>
    </row>
    <row r="25" ht="12.75">
      <c r="B25" s="32" t="s">
        <v>69</v>
      </c>
    </row>
  </sheetData>
  <mergeCells count="19">
    <mergeCell ref="G18:H18"/>
    <mergeCell ref="G14:H14"/>
    <mergeCell ref="G15:H15"/>
    <mergeCell ref="G16:H16"/>
    <mergeCell ref="G17:H17"/>
    <mergeCell ref="C18:D18"/>
    <mergeCell ref="E14:F14"/>
    <mergeCell ref="E15:F15"/>
    <mergeCell ref="E18:F18"/>
    <mergeCell ref="E17:F17"/>
    <mergeCell ref="E16:F16"/>
    <mergeCell ref="C14:D14"/>
    <mergeCell ref="C15:D15"/>
    <mergeCell ref="C16:D16"/>
    <mergeCell ref="C17:D17"/>
    <mergeCell ref="A1:J1"/>
    <mergeCell ref="C13:D13"/>
    <mergeCell ref="E13:F13"/>
    <mergeCell ref="G13:H13"/>
  </mergeCells>
  <printOptions horizontalCentered="1" verticalCentered="1"/>
  <pageMargins left="0.7874015748031497" right="0.7874015748031497" top="0.7874015748031497" bottom="0.7874015748031497" header="0.3937007874015748" footer="0.3937007874015748"/>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AK33"/>
  <sheetViews>
    <sheetView workbookViewId="0" topLeftCell="A1">
      <selection activeCell="A17" sqref="A17"/>
    </sheetView>
  </sheetViews>
  <sheetFormatPr defaultColWidth="9.140625" defaultRowHeight="12.75"/>
  <cols>
    <col min="1" max="1" width="4.7109375" style="6" customWidth="1"/>
    <col min="2" max="2" width="18.7109375" style="6" customWidth="1"/>
    <col min="3" max="6" width="4.7109375" style="6" customWidth="1"/>
    <col min="7" max="8" width="8.7109375" style="6" customWidth="1"/>
    <col min="9" max="9" width="9.140625" style="6" customWidth="1"/>
    <col min="10" max="10" width="4.7109375" style="6" customWidth="1"/>
    <col min="11" max="11" width="18.7109375" style="6" customWidth="1"/>
    <col min="12" max="15" width="4.7109375" style="6" customWidth="1"/>
    <col min="16" max="17" width="8.7109375" style="6" customWidth="1"/>
    <col min="18" max="37" width="3.7109375" style="6" customWidth="1"/>
    <col min="38" max="16384" width="9.140625" style="6" customWidth="1"/>
  </cols>
  <sheetData>
    <row r="1" spans="1:17" ht="28.5" customHeight="1">
      <c r="A1" s="112" t="str">
        <f>Control!$A$1</f>
        <v>2006 New Zealand Championships</v>
      </c>
      <c r="B1" s="112"/>
      <c r="C1" s="112"/>
      <c r="D1" s="112"/>
      <c r="E1" s="112"/>
      <c r="F1" s="112"/>
      <c r="G1" s="112"/>
      <c r="H1" s="112"/>
      <c r="I1" s="112"/>
      <c r="J1" s="112"/>
      <c r="K1" s="112"/>
      <c r="L1" s="112"/>
      <c r="M1" s="112"/>
      <c r="N1" s="112"/>
      <c r="O1" s="112"/>
      <c r="P1" s="112"/>
      <c r="Q1" s="112"/>
    </row>
    <row r="2" spans="1:21" ht="28.5" customHeight="1">
      <c r="A2" s="113" t="str">
        <f>S2</f>
        <v>7/8 team grade without final</v>
      </c>
      <c r="B2" s="113"/>
      <c r="C2" s="113"/>
      <c r="D2" s="113"/>
      <c r="E2" s="113"/>
      <c r="F2" s="113"/>
      <c r="G2" s="113"/>
      <c r="H2" s="113"/>
      <c r="I2" s="113"/>
      <c r="J2" s="113"/>
      <c r="K2" s="113"/>
      <c r="L2" s="113"/>
      <c r="M2" s="113"/>
      <c r="N2" s="113"/>
      <c r="O2" s="113"/>
      <c r="P2" s="113"/>
      <c r="Q2" s="113"/>
      <c r="S2" s="58" t="s">
        <v>103</v>
      </c>
      <c r="T2" s="58" t="s">
        <v>99</v>
      </c>
      <c r="U2" s="58">
        <v>9</v>
      </c>
    </row>
    <row r="3" spans="1:17" ht="28.5" customHeight="1">
      <c r="A3" s="113" t="str">
        <f>T2</f>
        <v>Shield name</v>
      </c>
      <c r="B3" s="113"/>
      <c r="C3" s="113"/>
      <c r="D3" s="113"/>
      <c r="E3" s="113"/>
      <c r="F3" s="113"/>
      <c r="G3" s="113"/>
      <c r="H3" s="113"/>
      <c r="I3" s="113"/>
      <c r="J3" s="113"/>
      <c r="K3" s="113"/>
      <c r="L3" s="113"/>
      <c r="M3" s="113"/>
      <c r="N3" s="113"/>
      <c r="O3" s="113"/>
      <c r="P3" s="113"/>
      <c r="Q3" s="113"/>
    </row>
    <row r="4" spans="1:17" ht="28.5" customHeight="1">
      <c r="A4" s="37"/>
      <c r="B4" s="37"/>
      <c r="C4" s="37"/>
      <c r="D4" s="37"/>
      <c r="E4" s="37"/>
      <c r="F4" s="37"/>
      <c r="G4" s="37"/>
      <c r="H4" s="37"/>
      <c r="I4" s="37"/>
      <c r="J4" s="37"/>
      <c r="K4" s="37"/>
      <c r="L4" s="37"/>
      <c r="M4" s="37"/>
      <c r="N4" s="37"/>
      <c r="O4" s="37"/>
      <c r="P4" s="37"/>
      <c r="Q4" s="37"/>
    </row>
    <row r="5" spans="1:10" ht="28.5" customHeight="1">
      <c r="A5" s="38" t="s">
        <v>55</v>
      </c>
      <c r="I5" s="39" t="s">
        <v>26</v>
      </c>
      <c r="J5" s="38" t="s">
        <v>66</v>
      </c>
    </row>
    <row r="6" spans="2:20" ht="28.5" customHeight="1">
      <c r="B6" s="28" t="s">
        <v>4</v>
      </c>
      <c r="C6" s="28">
        <v>1</v>
      </c>
      <c r="D6" s="28">
        <v>2</v>
      </c>
      <c r="E6" s="28">
        <v>3</v>
      </c>
      <c r="F6" s="28">
        <v>4</v>
      </c>
      <c r="G6" s="28" t="s">
        <v>0</v>
      </c>
      <c r="H6" s="28" t="s">
        <v>1</v>
      </c>
      <c r="K6" s="28" t="s">
        <v>5</v>
      </c>
      <c r="L6" s="28">
        <v>1</v>
      </c>
      <c r="M6" s="28">
        <v>2</v>
      </c>
      <c r="N6" s="28">
        <v>3</v>
      </c>
      <c r="O6" s="28">
        <v>4</v>
      </c>
      <c r="P6" s="28" t="s">
        <v>0</v>
      </c>
      <c r="Q6" s="28" t="s">
        <v>1</v>
      </c>
      <c r="S6" s="55" t="s">
        <v>2</v>
      </c>
      <c r="T6" s="55">
        <f>INT(U2/2)</f>
        <v>4</v>
      </c>
    </row>
    <row r="7" spans="1:37" ht="28.5" customHeight="1">
      <c r="A7" s="28">
        <v>1</v>
      </c>
      <c r="B7" s="60" t="s">
        <v>2</v>
      </c>
      <c r="C7" s="41"/>
      <c r="D7" s="3"/>
      <c r="E7" s="3"/>
      <c r="F7" s="3"/>
      <c r="G7" s="7">
        <f>IF(COUNT(S7:V7)&gt;0,SUM(AC7:AF7),"")</f>
      </c>
      <c r="H7" s="7">
        <f>IF(COUNT(G7:G7)&gt;0,IF(SUM(G$7:G$10)&gt;0,RANK(G7,G$7:G$10,0),""),"")</f>
      </c>
      <c r="J7" s="28">
        <v>1</v>
      </c>
      <c r="K7" s="60" t="s">
        <v>2</v>
      </c>
      <c r="L7" s="20"/>
      <c r="M7" s="3"/>
      <c r="N7" s="3"/>
      <c r="O7" s="3"/>
      <c r="P7" s="7">
        <f>IF(COUNT(X7:AA7)&gt;0,SUM(AH7:AK7),"")</f>
      </c>
      <c r="Q7" s="7">
        <f>IF(COUNT(P7:P7)&gt;0,IF(SUM(P$7:P$10)&gt;0,RANK(P7,P$7:P$10,0),""),"")</f>
      </c>
      <c r="S7" s="21">
        <f>IF(C7="","",VALUE(LEFT(C7)))</f>
      </c>
      <c r="T7" s="21">
        <f aca="true" t="shared" si="0" ref="T7:V10">IF(D7="","",VALUE(LEFT(D7)))</f>
      </c>
      <c r="U7" s="21">
        <f t="shared" si="0"/>
      </c>
      <c r="V7" s="21">
        <f t="shared" si="0"/>
      </c>
      <c r="W7" s="21"/>
      <c r="X7" s="21">
        <f>IF(L7="","",VALUE(LEFT(L7)))</f>
      </c>
      <c r="Y7" s="21">
        <f aca="true" t="shared" si="1" ref="Y7:AA10">IF(M7="","",VALUE(LEFT(M7)))</f>
      </c>
      <c r="Z7" s="21">
        <f t="shared" si="1"/>
      </c>
      <c r="AA7" s="21">
        <f t="shared" si="1"/>
      </c>
      <c r="AC7" s="6">
        <f>IF(C7="","",IF(S7&gt;$T$6,1,""))</f>
      </c>
      <c r="AD7" s="55">
        <f aca="true" t="shared" si="2" ref="AD7:AF10">IF(D7="","",IF(T7&gt;$T$6,1,""))</f>
      </c>
      <c r="AE7" s="55">
        <f t="shared" si="2"/>
      </c>
      <c r="AF7" s="55">
        <f t="shared" si="2"/>
      </c>
      <c r="AG7" s="55"/>
      <c r="AH7" s="55">
        <f>IF(L7="","",IF(X7&gt;$T$6,1,""))</f>
      </c>
      <c r="AI7" s="55">
        <f aca="true" t="shared" si="3" ref="AI7:AK10">IF(M7="","",IF(Y7&gt;$T$6,1,""))</f>
      </c>
      <c r="AJ7" s="55">
        <f t="shared" si="3"/>
      </c>
      <c r="AK7" s="55">
        <f t="shared" si="3"/>
      </c>
    </row>
    <row r="8" spans="1:37" ht="28.5" customHeight="1">
      <c r="A8" s="28">
        <v>2</v>
      </c>
      <c r="B8" s="42" t="s">
        <v>2</v>
      </c>
      <c r="C8" s="16">
        <f>IF(ISBLANK(D7),"",CONCATENATE(RIGHT(D7),"-",LEFT(D7)))</f>
      </c>
      <c r="D8" s="20"/>
      <c r="E8" s="3"/>
      <c r="F8" s="3"/>
      <c r="G8" s="7">
        <f>IF(COUNT(S8:V8)&gt;0,SUM(AC8:AF8),"")</f>
      </c>
      <c r="H8" s="7">
        <f>IF(COUNT(G8:G8)&gt;0,IF(SUM(G$7:G$10)&gt;0,RANK(G8,G$7:G$10,0),""),"")</f>
      </c>
      <c r="J8" s="28">
        <v>2</v>
      </c>
      <c r="K8" s="42" t="s">
        <v>2</v>
      </c>
      <c r="L8" s="16">
        <f>IF(ISBLANK(M7),"",CONCATENATE(RIGHT(M7),"-",LEFT(M7)))</f>
      </c>
      <c r="M8" s="20"/>
      <c r="N8" s="3"/>
      <c r="O8" s="3"/>
      <c r="P8" s="7">
        <f>IF(COUNT(X8:AA8)&gt;0,SUM(AH8:AK8),"")</f>
      </c>
      <c r="Q8" s="7">
        <f>IF(COUNT(P8:P8)&gt;0,IF(SUM(P$7:P$10)&gt;0,RANK(P8,P$7:P$10,0),""),"")</f>
      </c>
      <c r="S8" s="21">
        <f>IF(C8="","",VALUE(LEFT(C8)))</f>
      </c>
      <c r="T8" s="21">
        <f t="shared" si="0"/>
      </c>
      <c r="U8" s="21">
        <f t="shared" si="0"/>
      </c>
      <c r="V8" s="21">
        <f t="shared" si="0"/>
      </c>
      <c r="W8" s="21"/>
      <c r="X8" s="21">
        <f>IF(L8="","",VALUE(LEFT(L8)))</f>
      </c>
      <c r="Y8" s="21">
        <f t="shared" si="1"/>
      </c>
      <c r="Z8" s="21">
        <f t="shared" si="1"/>
      </c>
      <c r="AA8" s="21">
        <f t="shared" si="1"/>
      </c>
      <c r="AC8" s="6">
        <f>IF(C8="","",IF(S8&gt;$T$6,1,""))</f>
      </c>
      <c r="AD8" s="55">
        <f t="shared" si="2"/>
      </c>
      <c r="AE8" s="55">
        <f t="shared" si="2"/>
      </c>
      <c r="AF8" s="55">
        <f t="shared" si="2"/>
      </c>
      <c r="AG8" s="55"/>
      <c r="AH8" s="55">
        <f>IF(L8="","",IF(X8&gt;$T$6,1,""))</f>
      </c>
      <c r="AI8" s="55">
        <f t="shared" si="3"/>
      </c>
      <c r="AJ8" s="55">
        <f t="shared" si="3"/>
      </c>
      <c r="AK8" s="55">
        <f t="shared" si="3"/>
      </c>
    </row>
    <row r="9" spans="1:37" ht="28.5" customHeight="1">
      <c r="A9" s="28">
        <v>3</v>
      </c>
      <c r="B9" s="42" t="s">
        <v>2</v>
      </c>
      <c r="C9" s="16">
        <f>IF(ISBLANK(E7),"",CONCATENATE(RIGHT(E7),"-",LEFT(E7)))</f>
      </c>
      <c r="D9" s="16">
        <f>IF(ISBLANK(E8),"",CONCATENATE(RIGHT(E8),"-",LEFT(E8)))</f>
      </c>
      <c r="E9" s="20"/>
      <c r="F9" s="3"/>
      <c r="G9" s="7">
        <f>IF(COUNT(S9:V9)&gt;0,SUM(AC9:AF9),"")</f>
      </c>
      <c r="H9" s="7">
        <f>IF(COUNT(G9:G9)&gt;0,IF(SUM(G$7:G$10)&gt;0,RANK(G9,G$7:G$10,0),""),"")</f>
      </c>
      <c r="J9" s="28">
        <v>3</v>
      </c>
      <c r="K9" s="40" t="s">
        <v>2</v>
      </c>
      <c r="L9" s="16">
        <f>IF(ISBLANK(N7),"",CONCATENATE(RIGHT(N7),"-",LEFT(N7)))</f>
      </c>
      <c r="M9" s="16">
        <f>IF(ISBLANK(N8),"",CONCATENATE(RIGHT(N8),"-",LEFT(N8)))</f>
      </c>
      <c r="N9" s="20"/>
      <c r="O9" s="3"/>
      <c r="P9" s="7">
        <f>IF(COUNT(X9:AA9)&gt;0,SUM(AH9:AK9),"")</f>
      </c>
      <c r="Q9" s="7">
        <f>IF(COUNT(P9:P9)&gt;0,IF(SUM(P$7:P$10)&gt;0,RANK(P9,P$7:P$10,0),""),"")</f>
      </c>
      <c r="S9" s="21">
        <f>IF(C9="","",VALUE(LEFT(C9)))</f>
      </c>
      <c r="T9" s="21">
        <f t="shared" si="0"/>
      </c>
      <c r="U9" s="21">
        <f t="shared" si="0"/>
      </c>
      <c r="V9" s="21">
        <f t="shared" si="0"/>
      </c>
      <c r="W9" s="21"/>
      <c r="X9" s="21">
        <f>IF(L9="","",VALUE(LEFT(L9)))</f>
      </c>
      <c r="Y9" s="21">
        <f t="shared" si="1"/>
      </c>
      <c r="Z9" s="21">
        <f t="shared" si="1"/>
      </c>
      <c r="AA9" s="21">
        <f t="shared" si="1"/>
      </c>
      <c r="AC9" s="6">
        <f>IF(C9="","",IF(S9&gt;$T$6,1,""))</f>
      </c>
      <c r="AD9" s="55">
        <f t="shared" si="2"/>
      </c>
      <c r="AE9" s="55">
        <f t="shared" si="2"/>
      </c>
      <c r="AF9" s="55">
        <f t="shared" si="2"/>
      </c>
      <c r="AG9" s="55"/>
      <c r="AH9" s="55">
        <f>IF(L9="","",IF(X9&gt;$T$6,1,""))</f>
      </c>
      <c r="AI9" s="55">
        <f t="shared" si="3"/>
      </c>
      <c r="AJ9" s="55">
        <f t="shared" si="3"/>
      </c>
      <c r="AK9" s="55">
        <f t="shared" si="3"/>
      </c>
    </row>
    <row r="10" spans="1:37" ht="28.5" customHeight="1">
      <c r="A10" s="28">
        <v>4</v>
      </c>
      <c r="B10" s="60" t="s">
        <v>2</v>
      </c>
      <c r="C10" s="16">
        <f>IF(ISBLANK(F7),"",CONCATENATE(RIGHT(F7),"-",LEFT(F7)))</f>
      </c>
      <c r="D10" s="16">
        <f>IF(ISBLANK(F8),"",CONCATENATE(RIGHT(F8),"-",LEFT(F8)))</f>
      </c>
      <c r="E10" s="16">
        <f>IF(ISBLANK(F9),"",CONCATENATE(RIGHT(F9),"-",LEFT(F9)))</f>
      </c>
      <c r="F10" s="20"/>
      <c r="G10" s="7">
        <f>IF(COUNT(S10:V10)&gt;0,SUM(AC10:AF10),"")</f>
      </c>
      <c r="H10" s="7">
        <f>IF(COUNT(G10:G10)&gt;0,IF(SUM(G$7:G$10)&gt;0,RANK(G10,G$7:G$10,0),""),"")</f>
      </c>
      <c r="J10" s="28">
        <v>4</v>
      </c>
      <c r="K10" s="60" t="s">
        <v>2</v>
      </c>
      <c r="L10" s="16">
        <f>IF(ISBLANK(O7),"",CONCATENATE(RIGHT(O7),"-",LEFT(O7)))</f>
      </c>
      <c r="M10" s="16">
        <f>IF(ISBLANK(O8),"",CONCATENATE(RIGHT(O8),"-",LEFT(O8)))</f>
      </c>
      <c r="N10" s="16">
        <f>IF(ISBLANK(O9),"",CONCATENATE(RIGHT(O9),"-",LEFT(O9)))</f>
      </c>
      <c r="O10" s="20"/>
      <c r="P10" s="7">
        <f>IF(COUNT(X10:AA10)&gt;0,SUM(AH10:AK10),"")</f>
      </c>
      <c r="Q10" s="7">
        <f>IF(COUNT(P10:P10)&gt;0,IF(SUM(P$7:P$10)&gt;0,RANK(P10,P$7:P$10,0),""),"")</f>
      </c>
      <c r="S10" s="21">
        <f>IF(C10="","",VALUE(LEFT(C10)))</f>
      </c>
      <c r="T10" s="21">
        <f t="shared" si="0"/>
      </c>
      <c r="U10" s="21">
        <f t="shared" si="0"/>
      </c>
      <c r="V10" s="21">
        <f t="shared" si="0"/>
      </c>
      <c r="W10" s="21"/>
      <c r="X10" s="21">
        <f>IF(L10="","",VALUE(LEFT(L10)))</f>
      </c>
      <c r="Y10" s="21">
        <f t="shared" si="1"/>
      </c>
      <c r="Z10" s="21">
        <f t="shared" si="1"/>
      </c>
      <c r="AA10" s="21">
        <f t="shared" si="1"/>
      </c>
      <c r="AC10" s="6">
        <f>IF(C10="","",IF(S10&gt;$T$6,1,""))</f>
      </c>
      <c r="AD10" s="55">
        <f t="shared" si="2"/>
      </c>
      <c r="AE10" s="55">
        <f t="shared" si="2"/>
      </c>
      <c r="AF10" s="55">
        <f t="shared" si="2"/>
      </c>
      <c r="AG10" s="55"/>
      <c r="AH10" s="55">
        <f>IF(L10="","",IF(X10&gt;$T$6,1,""))</f>
      </c>
      <c r="AI10" s="55">
        <f t="shared" si="3"/>
      </c>
      <c r="AJ10" s="55">
        <f t="shared" si="3"/>
      </c>
      <c r="AK10" s="55">
        <f t="shared" si="3"/>
      </c>
    </row>
    <row r="11" ht="28.5" customHeight="1"/>
    <row r="12" spans="2:8" ht="28.5" customHeight="1">
      <c r="B12" s="28" t="s">
        <v>9</v>
      </c>
      <c r="C12" s="114" t="s">
        <v>96</v>
      </c>
      <c r="D12" s="115"/>
      <c r="E12" s="114" t="s">
        <v>96</v>
      </c>
      <c r="F12" s="115"/>
      <c r="G12" s="28" t="s">
        <v>96</v>
      </c>
      <c r="H12" s="28" t="s">
        <v>96</v>
      </c>
    </row>
    <row r="13" spans="2:8" ht="28.5" customHeight="1">
      <c r="B13" s="28" t="s">
        <v>2</v>
      </c>
      <c r="C13" s="108" t="s">
        <v>43</v>
      </c>
      <c r="D13" s="108"/>
      <c r="E13" s="108" t="s">
        <v>44</v>
      </c>
      <c r="F13" s="108"/>
      <c r="G13" s="43" t="s">
        <v>45</v>
      </c>
      <c r="H13" s="43" t="s">
        <v>46</v>
      </c>
    </row>
    <row r="14" spans="2:8" ht="28.5" customHeight="1">
      <c r="B14" s="28" t="s">
        <v>2</v>
      </c>
      <c r="C14" s="108" t="s">
        <v>49</v>
      </c>
      <c r="D14" s="108"/>
      <c r="E14" s="108" t="s">
        <v>50</v>
      </c>
      <c r="F14" s="108"/>
      <c r="G14" s="29" t="s">
        <v>47</v>
      </c>
      <c r="H14" s="29" t="s">
        <v>48</v>
      </c>
    </row>
    <row r="15" spans="2:8" ht="28.5" customHeight="1">
      <c r="B15" s="28" t="s">
        <v>2</v>
      </c>
      <c r="C15" s="108" t="s">
        <v>54</v>
      </c>
      <c r="D15" s="108"/>
      <c r="E15" s="108" t="s">
        <v>51</v>
      </c>
      <c r="F15" s="108"/>
      <c r="G15" s="29" t="s">
        <v>53</v>
      </c>
      <c r="H15" s="29" t="s">
        <v>52</v>
      </c>
    </row>
    <row r="16" spans="2:15" ht="28.5" customHeight="1">
      <c r="B16" s="44"/>
      <c r="C16" s="45"/>
      <c r="D16" s="45"/>
      <c r="E16" s="45"/>
      <c r="F16" s="45"/>
      <c r="K16" s="44"/>
      <c r="L16" s="45"/>
      <c r="M16" s="45"/>
      <c r="N16" s="45"/>
      <c r="O16" s="45"/>
    </row>
    <row r="17" spans="1:10" ht="28.5" customHeight="1">
      <c r="A17" s="38" t="s">
        <v>55</v>
      </c>
      <c r="I17" s="39" t="s">
        <v>27</v>
      </c>
      <c r="J17" s="38" t="s">
        <v>66</v>
      </c>
    </row>
    <row r="18" spans="2:17" ht="28.5" customHeight="1">
      <c r="B18" s="46" t="s">
        <v>64</v>
      </c>
      <c r="C18" s="28">
        <v>1</v>
      </c>
      <c r="D18" s="28">
        <v>2</v>
      </c>
      <c r="E18" s="28">
        <v>3</v>
      </c>
      <c r="F18" s="28">
        <v>4</v>
      </c>
      <c r="G18" s="28" t="s">
        <v>0</v>
      </c>
      <c r="H18" s="46" t="s">
        <v>1</v>
      </c>
      <c r="K18" s="46" t="s">
        <v>65</v>
      </c>
      <c r="L18" s="28">
        <v>1</v>
      </c>
      <c r="M18" s="28">
        <v>2</v>
      </c>
      <c r="N18" s="28">
        <v>3</v>
      </c>
      <c r="O18" s="28">
        <v>4</v>
      </c>
      <c r="P18" s="28" t="s">
        <v>0</v>
      </c>
      <c r="Q18" s="46" t="s">
        <v>1</v>
      </c>
    </row>
    <row r="19" spans="1:37" ht="28.5" customHeight="1">
      <c r="A19" s="28" t="s">
        <v>56</v>
      </c>
      <c r="B19" s="4">
        <f>IF(SUM($G$7:$G$10)=6,INDEX($B$7:$B$10,MATCH(1,$H$7:$H$10,0)),"")</f>
      </c>
      <c r="C19" s="20"/>
      <c r="D19" s="3"/>
      <c r="E19" s="3"/>
      <c r="F19" s="8">
        <f>IF(SUM($G$7:$G$10)=6,INDEX($C$7:$F$10,MATCH(1,$H$7:$H$10,0),MATCH(2,$H$7:$H$10,0)),"")</f>
      </c>
      <c r="G19" s="7">
        <f>IF(COUNT(S19:V19)&gt;0,SUM(AC19:AF19),"")</f>
      </c>
      <c r="H19" s="7">
        <f>IF(COUNT(G19:G19)&gt;0,IF(SUM(G$19:G$22)&gt;0,RANK(G19,G$19:G$22,0),""),"")</f>
      </c>
      <c r="J19" s="28" t="s">
        <v>60</v>
      </c>
      <c r="K19" s="4">
        <f>IF(SUM($G$7:$G$10)=6,INDEX($B$7:$B$10,MATCH(3,$H$7:$H$10,0)),"")</f>
      </c>
      <c r="L19" s="20"/>
      <c r="M19" s="3"/>
      <c r="N19" s="3"/>
      <c r="O19" s="9">
        <f>IF(SUM($G$7:$G$10)=6,INDEX($C$7:$F$10,MATCH(3,$H$7:$H$10,0),MATCH(4,$H$7:$H$10,0)),"")</f>
      </c>
      <c r="P19" s="7">
        <f>IF(COUNT(X19:AA19)&gt;0,SUM(AH19:AK19),"")</f>
      </c>
      <c r="Q19" s="7">
        <f>IF(COUNT(P19:P19)&gt;0,IF(SUM(P$19:P$22)&gt;0,4+RANK(P19,P$19:P$22,0),""),"")</f>
      </c>
      <c r="S19" s="21">
        <f aca="true" t="shared" si="4" ref="S19:V22">IF(C19="","",VALUE(LEFT(C19)))</f>
      </c>
      <c r="T19" s="21">
        <f t="shared" si="4"/>
      </c>
      <c r="U19" s="21">
        <f t="shared" si="4"/>
      </c>
      <c r="V19" s="21">
        <f t="shared" si="4"/>
      </c>
      <c r="W19" s="21"/>
      <c r="X19" s="21">
        <f aca="true" t="shared" si="5" ref="X19:AA22">IF(L19="","",VALUE(LEFT(L19)))</f>
      </c>
      <c r="Y19" s="21">
        <f t="shared" si="5"/>
      </c>
      <c r="Z19" s="21">
        <f t="shared" si="5"/>
      </c>
      <c r="AA19" s="21">
        <f t="shared" si="5"/>
      </c>
      <c r="AC19" s="6">
        <f aca="true" t="shared" si="6" ref="AC19:AF22">IF(C19="","",IF(S19&gt;$T$6,1,""))</f>
      </c>
      <c r="AD19" s="55">
        <f t="shared" si="6"/>
      </c>
      <c r="AE19" s="55">
        <f t="shared" si="6"/>
      </c>
      <c r="AF19" s="55">
        <f t="shared" si="6"/>
      </c>
      <c r="AG19" s="55"/>
      <c r="AH19" s="55">
        <f aca="true" t="shared" si="7" ref="AH19:AK22">IF(L19="","",IF(X19&gt;$T$6,1,""))</f>
      </c>
      <c r="AI19" s="55">
        <f t="shared" si="7"/>
      </c>
      <c r="AJ19" s="55">
        <f t="shared" si="7"/>
      </c>
      <c r="AK19" s="55">
        <f t="shared" si="7"/>
      </c>
    </row>
    <row r="20" spans="1:37" ht="28.5" customHeight="1">
      <c r="A20" s="28" t="s">
        <v>57</v>
      </c>
      <c r="B20" s="4">
        <f>IF(SUM($P$7:$P$10)=6,INDEX($K$7:$K$10,MATCH(1,$Q$7:$Q$10,0)),"")</f>
      </c>
      <c r="C20" s="16">
        <f>IF(ISBLANK(D19),"",CONCATENATE(RIGHT(D19),"-",LEFT(D19)))</f>
      </c>
      <c r="D20" s="20"/>
      <c r="E20" s="8">
        <f>IF(SUM($P$7:$P$10)=6,INDEX($L$7:$O$10,MATCH(1,$Q$7:$Q$10,0),MATCH(2,$Q$7:$Q$10,0)),"")</f>
      </c>
      <c r="F20" s="3"/>
      <c r="G20" s="7">
        <f>IF(COUNT(S20:V20)&gt;0,SUM(AC20:AF20),"")</f>
      </c>
      <c r="H20" s="7">
        <f>IF(COUNT(G20:G20)&gt;0,IF(SUM(G$19:G$22)&gt;0,RANK(G20,G$19:G$22,0),""),"")</f>
      </c>
      <c r="J20" s="28" t="s">
        <v>61</v>
      </c>
      <c r="K20" s="4">
        <f>IF(SUM($P$7:$P$10)=6,INDEX($K$7:$K$10,MATCH(3,$Q$7:$Q$10,0)),"")</f>
      </c>
      <c r="L20" s="16">
        <f>IF(ISBLANK(M19),"",CONCATENATE(RIGHT(M19),"-",LEFT(M19)))</f>
      </c>
      <c r="M20" s="20"/>
      <c r="N20" s="8">
        <f>IF(SUM($P$7:$P$10)=6,INDEX($L$7:$O$10,MATCH(3,$Q$7:$Q$10,0),MATCH(4,$Q$7:$Q$10,0)),"")</f>
      </c>
      <c r="O20" s="3"/>
      <c r="P20" s="7">
        <f>IF(COUNT(X20:AA20)&gt;0,SUM(AH20:AK20),"")</f>
      </c>
      <c r="Q20" s="7">
        <f>IF(COUNT(P20:P20)&gt;0,IF(SUM(P$19:P$22)&gt;0,4+RANK(P20,P$19:P$22,0),""),"")</f>
      </c>
      <c r="S20" s="21">
        <f t="shared" si="4"/>
      </c>
      <c r="T20" s="21">
        <f t="shared" si="4"/>
      </c>
      <c r="U20" s="21">
        <f t="shared" si="4"/>
      </c>
      <c r="V20" s="21">
        <f t="shared" si="4"/>
      </c>
      <c r="W20" s="21"/>
      <c r="X20" s="21">
        <f t="shared" si="5"/>
      </c>
      <c r="Y20" s="21">
        <f t="shared" si="5"/>
      </c>
      <c r="Z20" s="21">
        <f t="shared" si="5"/>
      </c>
      <c r="AA20" s="21">
        <f t="shared" si="5"/>
      </c>
      <c r="AC20" s="6">
        <f t="shared" si="6"/>
      </c>
      <c r="AD20" s="55">
        <f t="shared" si="6"/>
      </c>
      <c r="AE20" s="55">
        <f t="shared" si="6"/>
      </c>
      <c r="AF20" s="55">
        <f t="shared" si="6"/>
      </c>
      <c r="AG20" s="55"/>
      <c r="AH20" s="55">
        <f t="shared" si="7"/>
      </c>
      <c r="AI20" s="55">
        <f t="shared" si="7"/>
      </c>
      <c r="AJ20" s="55">
        <f t="shared" si="7"/>
      </c>
      <c r="AK20" s="55">
        <f t="shared" si="7"/>
      </c>
    </row>
    <row r="21" spans="1:37" ht="28.5" customHeight="1">
      <c r="A21" s="28" t="s">
        <v>58</v>
      </c>
      <c r="B21" s="4">
        <f>IF(SUM($P$7:$P$10)=6,INDEX($K$7:$K$10,MATCH(2,$Q$7:$Q$10,0)),"")</f>
      </c>
      <c r="C21" s="16">
        <f>IF(ISBLANK(E19),"",CONCATENATE(RIGHT(E19),"-",LEFT(E19)))</f>
      </c>
      <c r="D21" s="8">
        <f>IF(SUM($P$7:$P$10)=6,INDEX($L$7:$O$10,MATCH(2,$Q$7:$Q$10,0),MATCH(1,$Q$7:$Q$10,0)),"")</f>
      </c>
      <c r="E21" s="20"/>
      <c r="F21" s="3"/>
      <c r="G21" s="7">
        <f>IF(COUNT(S21:V21)&gt;0,SUM(AC21:AF21),"")</f>
      </c>
      <c r="H21" s="7">
        <f>IF(COUNT(G21:G21)&gt;0,IF(SUM(G$19:G$22)&gt;0,RANK(G21,G$19:G$22,0),""),"")</f>
      </c>
      <c r="J21" s="28" t="s">
        <v>62</v>
      </c>
      <c r="K21" s="4">
        <f>IF(SUM($P$7:$P$10)=6,INDEX($K$7:$K$10,MATCH(4,$Q$7:$Q$10,0)),"")</f>
      </c>
      <c r="L21" s="16">
        <f>IF(ISBLANK(N19),"",CONCATENATE(RIGHT(N19),"-",LEFT(N19)))</f>
      </c>
      <c r="M21" s="8">
        <f>IF(SUM($P$7:$P$10)=6,INDEX($L$7:$O$10,MATCH(4,$Q$7:$Q$10,0),MATCH(3,$Q$7:$Q$10,0)),"")</f>
      </c>
      <c r="N21" s="20"/>
      <c r="O21" s="3"/>
      <c r="P21" s="7">
        <f>IF(COUNT(X21:AA21)&gt;0,SUM(AH21:AK21),"")</f>
      </c>
      <c r="Q21" s="7">
        <f>IF(COUNT(P21:P21)&gt;0,IF(SUM(P$19:P$22)&gt;0,4+RANK(P21,P$19:P$22,0),""),"")</f>
      </c>
      <c r="S21" s="21">
        <f t="shared" si="4"/>
      </c>
      <c r="T21" s="21">
        <f t="shared" si="4"/>
      </c>
      <c r="U21" s="21">
        <f t="shared" si="4"/>
      </c>
      <c r="V21" s="21">
        <f t="shared" si="4"/>
      </c>
      <c r="W21" s="21"/>
      <c r="X21" s="21">
        <f t="shared" si="5"/>
      </c>
      <c r="Y21" s="21">
        <f t="shared" si="5"/>
      </c>
      <c r="Z21" s="21">
        <f t="shared" si="5"/>
      </c>
      <c r="AA21" s="21">
        <f t="shared" si="5"/>
      </c>
      <c r="AC21" s="6">
        <f t="shared" si="6"/>
      </c>
      <c r="AD21" s="55">
        <f t="shared" si="6"/>
      </c>
      <c r="AE21" s="55">
        <f t="shared" si="6"/>
      </c>
      <c r="AF21" s="55">
        <f t="shared" si="6"/>
      </c>
      <c r="AG21" s="55"/>
      <c r="AH21" s="55">
        <f t="shared" si="7"/>
      </c>
      <c r="AI21" s="55">
        <f t="shared" si="7"/>
      </c>
      <c r="AJ21" s="55">
        <f t="shared" si="7"/>
      </c>
      <c r="AK21" s="55">
        <f t="shared" si="7"/>
      </c>
    </row>
    <row r="22" spans="1:37" ht="28.5" customHeight="1">
      <c r="A22" s="28" t="s">
        <v>59</v>
      </c>
      <c r="B22" s="4">
        <f>IF(SUM($G$7:$G$10)=6,INDEX($B$7:$B$10,MATCH(2,$H$7:$H$10,0)),"")</f>
      </c>
      <c r="C22" s="8">
        <f>IF(SUM($G$7:$G$10)=6,INDEX($C$7:$F$10,MATCH(2,$H$7:$H$10,0),MATCH(1,$H$7:$H$10,0)),"")</f>
      </c>
      <c r="D22" s="16">
        <f>IF(ISBLANK(F20),"",CONCATENATE(RIGHT(F20),"-",LEFT(F20)))</f>
      </c>
      <c r="E22" s="16">
        <f>IF(ISBLANK(F21),"",CONCATENATE(RIGHT(F21),"-",LEFT(F21)))</f>
      </c>
      <c r="F22" s="20"/>
      <c r="G22" s="7">
        <f>IF(COUNT(S22:V22)&gt;0,SUM(AC22:AF22),"")</f>
      </c>
      <c r="H22" s="7">
        <f>IF(COUNT(G22:G22)&gt;0,IF(SUM(G$19:G$22)&gt;0,RANK(G22,G$19:G$22,0),""),"")</f>
      </c>
      <c r="J22" s="28" t="s">
        <v>63</v>
      </c>
      <c r="K22" s="4">
        <f>IF(SUM($G$7:$G$10)=6,INDEX($B$7:$B$10,MATCH(4,$H$7:$H$10,0)),"")</f>
      </c>
      <c r="L22" s="8">
        <f>IF(SUM($G$7:$G$10)=6,INDEX($C$7:$F$10,MATCH(4,$H$7:$H$10,0),MATCH(3,$H$7:$H$10,0)),"")</f>
      </c>
      <c r="M22" s="16">
        <f>IF(ISBLANK(O20),"",CONCATENATE(RIGHT(O20),"-",LEFT(O20)))</f>
      </c>
      <c r="N22" s="16">
        <f>IF(ISBLANK(O21),"",CONCATENATE(RIGHT(O21),"-",LEFT(O21)))</f>
      </c>
      <c r="O22" s="20"/>
      <c r="P22" s="7">
        <f>IF(COUNT(X22:AA22)&gt;0,SUM(AH22:AK22),"")</f>
      </c>
      <c r="Q22" s="7">
        <f>IF(COUNT(P22:P22)&gt;0,IF(SUM(P$19:P$22)&gt;0,4+RANK(P22,P$19:P$22,0),""),"")</f>
      </c>
      <c r="S22" s="21">
        <f t="shared" si="4"/>
      </c>
      <c r="T22" s="21">
        <f t="shared" si="4"/>
      </c>
      <c r="U22" s="21">
        <f t="shared" si="4"/>
      </c>
      <c r="V22" s="21">
        <f t="shared" si="4"/>
      </c>
      <c r="W22" s="21"/>
      <c r="X22" s="21">
        <f t="shared" si="5"/>
      </c>
      <c r="Y22" s="21">
        <f t="shared" si="5"/>
      </c>
      <c r="Z22" s="21">
        <f t="shared" si="5"/>
      </c>
      <c r="AA22" s="21">
        <f t="shared" si="5"/>
      </c>
      <c r="AC22" s="6">
        <f t="shared" si="6"/>
      </c>
      <c r="AD22" s="55">
        <f t="shared" si="6"/>
      </c>
      <c r="AE22" s="55">
        <f t="shared" si="6"/>
      </c>
      <c r="AF22" s="55">
        <f t="shared" si="6"/>
      </c>
      <c r="AG22" s="55"/>
      <c r="AH22" s="55">
        <f t="shared" si="7"/>
      </c>
      <c r="AI22" s="55">
        <f t="shared" si="7"/>
      </c>
      <c r="AJ22" s="55">
        <f t="shared" si="7"/>
      </c>
      <c r="AK22" s="55">
        <f t="shared" si="7"/>
      </c>
    </row>
    <row r="23" ht="28.5" customHeight="1">
      <c r="N23" s="6" t="s">
        <v>2</v>
      </c>
    </row>
    <row r="24" spans="2:15" ht="28.5" customHeight="1">
      <c r="B24" s="28" t="s">
        <v>9</v>
      </c>
      <c r="C24" s="130" t="s">
        <v>96</v>
      </c>
      <c r="D24" s="130"/>
      <c r="E24" s="130" t="s">
        <v>96</v>
      </c>
      <c r="F24" s="130"/>
      <c r="K24" s="28" t="s">
        <v>9</v>
      </c>
      <c r="L24" s="130" t="s">
        <v>96</v>
      </c>
      <c r="M24" s="130"/>
      <c r="N24" s="130" t="s">
        <v>96</v>
      </c>
      <c r="O24" s="130"/>
    </row>
    <row r="25" spans="2:15" ht="28.5" customHeight="1">
      <c r="B25" s="28" t="s">
        <v>2</v>
      </c>
      <c r="C25" s="108" t="s">
        <v>37</v>
      </c>
      <c r="D25" s="108"/>
      <c r="E25" s="108" t="s">
        <v>38</v>
      </c>
      <c r="F25" s="108"/>
      <c r="K25" s="28" t="s">
        <v>2</v>
      </c>
      <c r="L25" s="108" t="s">
        <v>39</v>
      </c>
      <c r="M25" s="108"/>
      <c r="N25" s="108" t="s">
        <v>42</v>
      </c>
      <c r="O25" s="108"/>
    </row>
    <row r="26" spans="2:15" ht="28.5" customHeight="1">
      <c r="B26" s="28" t="s">
        <v>2</v>
      </c>
      <c r="C26" s="108" t="s">
        <v>35</v>
      </c>
      <c r="D26" s="108"/>
      <c r="E26" s="108" t="s">
        <v>36</v>
      </c>
      <c r="F26" s="108"/>
      <c r="K26" s="28" t="s">
        <v>2</v>
      </c>
      <c r="L26" s="108" t="s">
        <v>40</v>
      </c>
      <c r="M26" s="108"/>
      <c r="N26" s="108" t="s">
        <v>41</v>
      </c>
      <c r="O26" s="108"/>
    </row>
    <row r="27" spans="2:15" ht="28.5" customHeight="1">
      <c r="B27" s="44"/>
      <c r="K27" s="44"/>
      <c r="L27" s="45"/>
      <c r="M27" s="45"/>
      <c r="N27" s="45"/>
      <c r="O27" s="45"/>
    </row>
    <row r="28" spans="2:15" ht="28.5" customHeight="1">
      <c r="B28" s="44"/>
      <c r="K28" s="44"/>
      <c r="L28" s="45"/>
      <c r="M28" s="45"/>
      <c r="N28" s="45"/>
      <c r="O28" s="45"/>
    </row>
    <row r="29" ht="28.5" customHeight="1"/>
    <row r="30" ht="12.75">
      <c r="B30" s="31" t="s">
        <v>30</v>
      </c>
    </row>
    <row r="32" ht="12.75">
      <c r="B32" s="6" t="s">
        <v>34</v>
      </c>
    </row>
    <row r="33" ht="12.75">
      <c r="B33" s="6" t="s">
        <v>97</v>
      </c>
    </row>
  </sheetData>
  <mergeCells count="23">
    <mergeCell ref="E15:F15"/>
    <mergeCell ref="C24:D24"/>
    <mergeCell ref="E24:F24"/>
    <mergeCell ref="C15:D15"/>
    <mergeCell ref="C14:D14"/>
    <mergeCell ref="E14:F14"/>
    <mergeCell ref="A1:Q1"/>
    <mergeCell ref="A2:Q2"/>
    <mergeCell ref="A3:Q3"/>
    <mergeCell ref="C13:D13"/>
    <mergeCell ref="E13:F13"/>
    <mergeCell ref="C12:D12"/>
    <mergeCell ref="E12:F12"/>
    <mergeCell ref="L26:M26"/>
    <mergeCell ref="N26:O26"/>
    <mergeCell ref="L24:M24"/>
    <mergeCell ref="N24:O24"/>
    <mergeCell ref="L25:M25"/>
    <mergeCell ref="N25:O25"/>
    <mergeCell ref="C25:D25"/>
    <mergeCell ref="E25:F25"/>
    <mergeCell ref="C26:D26"/>
    <mergeCell ref="E26:F26"/>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tabSelected="1" zoomScale="95" zoomScaleNormal="95" workbookViewId="0" topLeftCell="A1">
      <selection activeCell="A1" sqref="A1:C1"/>
    </sheetView>
  </sheetViews>
  <sheetFormatPr defaultColWidth="9.140625" defaultRowHeight="12.75"/>
  <cols>
    <col min="1" max="1" width="20.28125" style="0" customWidth="1"/>
    <col min="2" max="2" width="49.8515625" style="0" customWidth="1"/>
    <col min="3" max="3" width="20.00390625" style="0" bestFit="1" customWidth="1"/>
  </cols>
  <sheetData>
    <row r="1" spans="1:3" ht="23.25">
      <c r="A1" s="105" t="s">
        <v>210</v>
      </c>
      <c r="B1" s="106"/>
      <c r="C1" s="106"/>
    </row>
    <row r="2" spans="1:3" ht="18">
      <c r="A2" s="107" t="s">
        <v>299</v>
      </c>
      <c r="B2" s="106"/>
      <c r="C2" s="106"/>
    </row>
    <row r="3" spans="1:3" ht="18">
      <c r="A3" s="107" t="s">
        <v>226</v>
      </c>
      <c r="B3" s="106"/>
      <c r="C3" s="106"/>
    </row>
    <row r="5" spans="1:3" ht="12.75">
      <c r="A5" s="93"/>
      <c r="B5" s="90" t="s">
        <v>346</v>
      </c>
      <c r="C5" s="93"/>
    </row>
    <row r="6" spans="1:3" ht="12.75">
      <c r="A6" s="92"/>
      <c r="B6" s="95" t="s">
        <v>300</v>
      </c>
      <c r="C6" s="92"/>
    </row>
    <row r="7" spans="1:3" ht="12.75">
      <c r="A7" s="92"/>
      <c r="B7" s="91" t="s">
        <v>304</v>
      </c>
      <c r="C7" s="92"/>
    </row>
    <row r="8" spans="1:3" ht="12.75">
      <c r="A8" s="92"/>
      <c r="B8" s="91" t="s">
        <v>311</v>
      </c>
      <c r="C8" s="92"/>
    </row>
    <row r="9" spans="1:3" ht="12.75">
      <c r="A9" s="93"/>
      <c r="B9" s="91" t="s">
        <v>314</v>
      </c>
      <c r="C9" s="92"/>
    </row>
    <row r="10" spans="1:2" ht="12.75">
      <c r="A10" s="92"/>
      <c r="B10" s="92"/>
    </row>
    <row r="11" spans="1:2" ht="12.75">
      <c r="A11" s="92"/>
      <c r="B11" s="90" t="s">
        <v>347</v>
      </c>
    </row>
    <row r="12" spans="1:2" ht="12.75">
      <c r="A12" s="94"/>
      <c r="B12" s="91" t="s">
        <v>301</v>
      </c>
    </row>
    <row r="13" spans="1:2" ht="12.75">
      <c r="A13" s="93"/>
      <c r="B13" s="91" t="s">
        <v>305</v>
      </c>
    </row>
    <row r="14" spans="1:2" ht="12.75">
      <c r="A14" s="92"/>
      <c r="B14" s="91" t="s">
        <v>308</v>
      </c>
    </row>
    <row r="15" spans="1:2" ht="12.75">
      <c r="A15" s="92"/>
      <c r="B15" s="91" t="s">
        <v>312</v>
      </c>
    </row>
    <row r="16" ht="12.75">
      <c r="A16" s="92"/>
    </row>
    <row r="17" spans="1:2" ht="12.75">
      <c r="A17" s="92"/>
      <c r="B17" s="90" t="s">
        <v>348</v>
      </c>
    </row>
    <row r="18" spans="1:2" ht="12.75">
      <c r="A18" s="94"/>
      <c r="B18" s="91" t="s">
        <v>302</v>
      </c>
    </row>
    <row r="19" spans="1:2" ht="12.75">
      <c r="A19" s="93"/>
      <c r="B19" s="91" t="s">
        <v>306</v>
      </c>
    </row>
    <row r="20" spans="1:2" ht="12.75">
      <c r="A20" s="92"/>
      <c r="B20" s="91" t="s">
        <v>309</v>
      </c>
    </row>
    <row r="21" ht="12.75">
      <c r="A21" s="92"/>
    </row>
    <row r="22" spans="1:2" ht="12.75">
      <c r="A22" s="92"/>
      <c r="B22" s="90" t="s">
        <v>349</v>
      </c>
    </row>
    <row r="23" spans="1:2" ht="12.75">
      <c r="A23" s="92"/>
      <c r="B23" s="91" t="s">
        <v>303</v>
      </c>
    </row>
    <row r="24" spans="1:2" ht="12.75">
      <c r="A24" s="94"/>
      <c r="B24" s="91" t="s">
        <v>307</v>
      </c>
    </row>
    <row r="25" spans="1:2" ht="12.75">
      <c r="A25" s="93"/>
      <c r="B25" s="91" t="s">
        <v>310</v>
      </c>
    </row>
    <row r="26" spans="1:2" ht="12.75">
      <c r="A26" s="92"/>
      <c r="B26" s="91" t="s">
        <v>313</v>
      </c>
    </row>
    <row r="27" ht="12.75">
      <c r="A27" s="92"/>
    </row>
  </sheetData>
  <mergeCells count="3">
    <mergeCell ref="A1:C1"/>
    <mergeCell ref="A2:C2"/>
    <mergeCell ref="A3:C3"/>
  </mergeCells>
  <printOptions/>
  <pageMargins left="0.75" right="0.75" top="1" bottom="1" header="0.5" footer="0.5"/>
  <pageSetup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sheetPr>
    <pageSetUpPr fitToPage="1"/>
  </sheetPr>
  <dimension ref="A1:AU32"/>
  <sheetViews>
    <sheetView workbookViewId="0" topLeftCell="A1">
      <selection activeCell="A17" sqref="A17"/>
    </sheetView>
  </sheetViews>
  <sheetFormatPr defaultColWidth="9.140625" defaultRowHeight="12.75"/>
  <cols>
    <col min="1" max="1" width="4.7109375" style="6" customWidth="1"/>
    <col min="2" max="2" width="16.7109375" style="6" customWidth="1"/>
    <col min="3" max="5" width="4.7109375" style="6" customWidth="1"/>
    <col min="6" max="8" width="8.7109375" style="6" customWidth="1"/>
    <col min="9" max="9" width="4.7109375" style="6" customWidth="1"/>
    <col min="10" max="10" width="16.7109375" style="6" customWidth="1"/>
    <col min="11" max="13" width="4.7109375" style="6" customWidth="1"/>
    <col min="14" max="16" width="8.7109375" style="6" customWidth="1"/>
    <col min="17" max="17" width="4.7109375" style="6" customWidth="1"/>
    <col min="18" max="18" width="16.7109375" style="6" customWidth="1"/>
    <col min="19" max="21" width="4.7109375" style="6" customWidth="1"/>
    <col min="22" max="23" width="8.7109375" style="6" customWidth="1"/>
    <col min="24" max="47" width="3.7109375" style="6" customWidth="1"/>
    <col min="48" max="16384" width="9.140625" style="6" customWidth="1"/>
  </cols>
  <sheetData>
    <row r="1" spans="1:23" ht="28.5" customHeight="1">
      <c r="A1" s="129" t="str">
        <f>Control!$A$1</f>
        <v>2006 New Zealand Championships</v>
      </c>
      <c r="B1" s="129"/>
      <c r="C1" s="129"/>
      <c r="D1" s="129"/>
      <c r="E1" s="129"/>
      <c r="F1" s="129"/>
      <c r="G1" s="129"/>
      <c r="H1" s="129"/>
      <c r="I1" s="129"/>
      <c r="J1" s="129"/>
      <c r="K1" s="129"/>
      <c r="L1" s="129"/>
      <c r="M1" s="129"/>
      <c r="N1" s="129"/>
      <c r="O1" s="129"/>
      <c r="P1" s="129"/>
      <c r="Q1" s="129"/>
      <c r="R1" s="129"/>
      <c r="S1" s="129"/>
      <c r="T1" s="129"/>
      <c r="U1" s="129"/>
      <c r="V1" s="129"/>
      <c r="W1" s="129"/>
    </row>
    <row r="2" spans="1:27" ht="28.5" customHeight="1">
      <c r="A2" s="33" t="str">
        <f>Y2</f>
        <v>9 team grade without final</v>
      </c>
      <c r="B2" s="34"/>
      <c r="C2" s="34"/>
      <c r="D2" s="34"/>
      <c r="E2" s="34"/>
      <c r="F2" s="34"/>
      <c r="G2" s="34"/>
      <c r="H2" s="47"/>
      <c r="I2" s="47"/>
      <c r="J2" s="47"/>
      <c r="K2" s="47"/>
      <c r="L2" s="47"/>
      <c r="M2" s="47"/>
      <c r="N2" s="47"/>
      <c r="O2" s="47"/>
      <c r="P2" s="48"/>
      <c r="Q2" s="48"/>
      <c r="R2" s="48"/>
      <c r="S2" s="48"/>
      <c r="T2" s="48"/>
      <c r="U2" s="48"/>
      <c r="V2" s="48"/>
      <c r="W2" s="48"/>
      <c r="Y2" s="56" t="s">
        <v>104</v>
      </c>
      <c r="Z2" s="58" t="s">
        <v>99</v>
      </c>
      <c r="AA2" s="58">
        <v>9</v>
      </c>
    </row>
    <row r="3" spans="1:23" ht="28.5" customHeight="1">
      <c r="A3" s="49" t="str">
        <f>Z2</f>
        <v>Shield name</v>
      </c>
      <c r="B3" s="34"/>
      <c r="C3" s="34"/>
      <c r="D3" s="34"/>
      <c r="E3" s="34"/>
      <c r="F3" s="34"/>
      <c r="G3" s="34"/>
      <c r="H3" s="47"/>
      <c r="I3" s="47"/>
      <c r="J3" s="47"/>
      <c r="K3" s="47"/>
      <c r="L3" s="47"/>
      <c r="M3" s="47"/>
      <c r="N3" s="47"/>
      <c r="O3" s="47"/>
      <c r="P3" s="48"/>
      <c r="Q3" s="48"/>
      <c r="R3" s="48"/>
      <c r="S3" s="48"/>
      <c r="T3" s="48"/>
      <c r="U3" s="48"/>
      <c r="V3" s="48"/>
      <c r="W3" s="48"/>
    </row>
    <row r="4" spans="1:23" ht="28.5" customHeight="1">
      <c r="A4" s="49"/>
      <c r="B4" s="34"/>
      <c r="C4" s="34"/>
      <c r="D4" s="34"/>
      <c r="E4" s="34"/>
      <c r="F4" s="34"/>
      <c r="G4" s="34"/>
      <c r="H4" s="47"/>
      <c r="I4" s="47"/>
      <c r="J4" s="47"/>
      <c r="K4" s="47"/>
      <c r="L4" s="47"/>
      <c r="M4" s="47"/>
      <c r="N4" s="47"/>
      <c r="O4" s="47"/>
      <c r="P4" s="48"/>
      <c r="Q4" s="48"/>
      <c r="R4" s="48"/>
      <c r="S4" s="48"/>
      <c r="T4" s="48"/>
      <c r="U4" s="48"/>
      <c r="V4" s="48"/>
      <c r="W4" s="48"/>
    </row>
    <row r="5" spans="1:23" ht="28.5" customHeight="1">
      <c r="A5" s="124" t="s">
        <v>157</v>
      </c>
      <c r="B5" s="124"/>
      <c r="C5" s="124"/>
      <c r="D5" s="124"/>
      <c r="E5" s="124"/>
      <c r="F5" s="124"/>
      <c r="G5" s="124"/>
      <c r="H5" s="124"/>
      <c r="I5" s="124"/>
      <c r="J5" s="124"/>
      <c r="K5" s="124"/>
      <c r="L5" s="124"/>
      <c r="M5" s="124"/>
      <c r="N5" s="124"/>
      <c r="O5" s="124"/>
      <c r="P5" s="124"/>
      <c r="Q5" s="124"/>
      <c r="R5" s="124"/>
      <c r="S5" s="124"/>
      <c r="T5" s="124"/>
      <c r="U5" s="124"/>
      <c r="V5" s="124"/>
      <c r="W5" s="124"/>
    </row>
    <row r="6" spans="1:47" ht="28.5" customHeight="1">
      <c r="A6" s="17"/>
      <c r="B6" s="18" t="s">
        <v>4</v>
      </c>
      <c r="C6" s="18">
        <v>1</v>
      </c>
      <c r="D6" s="18">
        <v>2</v>
      </c>
      <c r="E6" s="18">
        <v>3</v>
      </c>
      <c r="F6" s="18" t="s">
        <v>0</v>
      </c>
      <c r="G6" s="18" t="s">
        <v>1</v>
      </c>
      <c r="H6" s="17"/>
      <c r="I6" s="17"/>
      <c r="J6" s="18" t="s">
        <v>5</v>
      </c>
      <c r="K6" s="18">
        <v>1</v>
      </c>
      <c r="L6" s="18">
        <v>2</v>
      </c>
      <c r="M6" s="18">
        <v>3</v>
      </c>
      <c r="N6" s="18" t="s">
        <v>0</v>
      </c>
      <c r="O6" s="18" t="s">
        <v>1</v>
      </c>
      <c r="Q6" s="17"/>
      <c r="R6" s="18" t="s">
        <v>6</v>
      </c>
      <c r="S6" s="18">
        <v>1</v>
      </c>
      <c r="T6" s="18">
        <v>2</v>
      </c>
      <c r="U6" s="18">
        <v>3</v>
      </c>
      <c r="V6" s="18" t="s">
        <v>0</v>
      </c>
      <c r="W6" s="18" t="s">
        <v>1</v>
      </c>
      <c r="Y6" s="55" t="s">
        <v>2</v>
      </c>
      <c r="Z6" s="55">
        <f>INT(AA2/2)</f>
        <v>4</v>
      </c>
      <c r="AA6" s="55"/>
      <c r="AB6" s="55"/>
      <c r="AC6" s="55"/>
      <c r="AD6" s="55"/>
      <c r="AE6" s="55"/>
      <c r="AF6" s="55"/>
      <c r="AG6" s="55"/>
      <c r="AH6" s="55"/>
      <c r="AI6" s="55"/>
      <c r="AJ6" s="55"/>
      <c r="AK6" s="55"/>
      <c r="AL6" s="55"/>
      <c r="AM6" s="55"/>
      <c r="AN6" s="55"/>
      <c r="AO6" s="55"/>
      <c r="AP6" s="55"/>
      <c r="AQ6" s="55"/>
      <c r="AR6" s="55"/>
      <c r="AS6" s="55"/>
      <c r="AT6" s="55"/>
      <c r="AU6" s="55"/>
    </row>
    <row r="7" spans="1:47" ht="28.5" customHeight="1">
      <c r="A7" s="18">
        <v>1</v>
      </c>
      <c r="B7" s="19" t="s">
        <v>2</v>
      </c>
      <c r="C7" s="20"/>
      <c r="D7" s="3"/>
      <c r="E7" s="3"/>
      <c r="F7" s="7">
        <f>IF(COUNT(Y7:AA7)&gt;0,SUM(AK7:AM7),"")</f>
      </c>
      <c r="G7" s="7">
        <f>IF(COUNT(F7:F7)&gt;0,IF(SUM(F$7:F$9)&gt;0,RANK(F7,F$7:F$9,0),""),"")</f>
      </c>
      <c r="H7" s="17"/>
      <c r="I7" s="18">
        <v>1</v>
      </c>
      <c r="J7" s="19" t="s">
        <v>2</v>
      </c>
      <c r="K7" s="20"/>
      <c r="L7" s="3"/>
      <c r="M7" s="3"/>
      <c r="N7" s="7">
        <f>IF(COUNT(AC7:AE7)&gt;0,SUM(AO7:AQ7),"")</f>
      </c>
      <c r="O7" s="7">
        <f>IF(COUNT(N7:N7)&gt;0,IF(SUM(N$7:N$9)&gt;0,RANK(N7,N$7:N$9,0),""),"")</f>
      </c>
      <c r="Q7" s="18">
        <v>1</v>
      </c>
      <c r="R7" s="19" t="s">
        <v>2</v>
      </c>
      <c r="S7" s="20"/>
      <c r="T7" s="3"/>
      <c r="U7" s="3"/>
      <c r="V7" s="7">
        <f>IF(COUNT(AG7:AI7)&gt;0,SUM(AS7:AU7),"")</f>
      </c>
      <c r="W7" s="7">
        <f>IF(COUNT(V7:V7)&gt;0,IF(SUM(V$7:V$9)&gt;0,RANK(V7,V$7:V$9,0),""),"")</f>
      </c>
      <c r="Y7" s="21">
        <f aca="true" t="shared" si="0" ref="Y7:AA9">IF(C7="","",VALUE(LEFT(C7)))</f>
      </c>
      <c r="Z7" s="21">
        <f t="shared" si="0"/>
      </c>
      <c r="AA7" s="21">
        <f t="shared" si="0"/>
      </c>
      <c r="AB7" s="55"/>
      <c r="AC7" s="21">
        <f aca="true" t="shared" si="1" ref="AC7:AE9">IF(K7="","",VALUE(LEFT(K7)))</f>
      </c>
      <c r="AD7" s="21">
        <f t="shared" si="1"/>
      </c>
      <c r="AE7" s="21">
        <f t="shared" si="1"/>
      </c>
      <c r="AF7" s="55"/>
      <c r="AG7" s="21">
        <f aca="true" t="shared" si="2" ref="AG7:AI9">IF(S7="","",VALUE(LEFT(S7)))</f>
      </c>
      <c r="AH7" s="21">
        <f t="shared" si="2"/>
      </c>
      <c r="AI7" s="21">
        <f t="shared" si="2"/>
      </c>
      <c r="AJ7" s="55"/>
      <c r="AK7" s="55">
        <f aca="true" t="shared" si="3" ref="AK7:AM9">IF(C7="","",IF(Y7&gt;$Z$6,1,""))</f>
      </c>
      <c r="AL7" s="55">
        <f t="shared" si="3"/>
      </c>
      <c r="AM7" s="55">
        <f t="shared" si="3"/>
      </c>
      <c r="AN7" s="55"/>
      <c r="AO7" s="55">
        <f aca="true" t="shared" si="4" ref="AO7:AQ9">IF(K7="","",IF(AC7&gt;$Z$6,1,""))</f>
      </c>
      <c r="AP7" s="55">
        <f t="shared" si="4"/>
      </c>
      <c r="AQ7" s="55">
        <f t="shared" si="4"/>
      </c>
      <c r="AR7" s="55"/>
      <c r="AS7" s="55">
        <f aca="true" t="shared" si="5" ref="AS7:AU9">IF(S7="","",IF(AG7&gt;$Z$6,1,""))</f>
      </c>
      <c r="AT7" s="55">
        <f t="shared" si="5"/>
      </c>
      <c r="AU7" s="55">
        <f t="shared" si="5"/>
      </c>
    </row>
    <row r="8" spans="1:47" ht="28.5" customHeight="1">
      <c r="A8" s="18">
        <v>2</v>
      </c>
      <c r="B8" s="19" t="s">
        <v>2</v>
      </c>
      <c r="C8" s="16">
        <f>IF(ISBLANK(D7),"",CONCATENATE(RIGHT(D7),"-",LEFT(D7)))</f>
      </c>
      <c r="D8" s="20"/>
      <c r="E8" s="3"/>
      <c r="F8" s="7">
        <f>IF(COUNT(Y8:AA8)&gt;0,SUM(AK8:AM8),"")</f>
      </c>
      <c r="G8" s="7">
        <f>IF(COUNT(F8:F8)&gt;0,IF(SUM(F$7:F$9)&gt;0,RANK(F8,F$7:F$9,0),""),"")</f>
      </c>
      <c r="H8" s="17"/>
      <c r="I8" s="18">
        <v>2</v>
      </c>
      <c r="J8" s="19" t="s">
        <v>2</v>
      </c>
      <c r="K8" s="16">
        <f>IF(ISBLANK(L7),"",CONCATENATE(RIGHT(L7),"-",LEFT(L7)))</f>
      </c>
      <c r="L8" s="20"/>
      <c r="M8" s="3"/>
      <c r="N8" s="7">
        <f>IF(COUNT(AC8:AE8)&gt;0,SUM(AO8:AQ8),"")</f>
      </c>
      <c r="O8" s="7">
        <f>IF(COUNT(N8:N8)&gt;0,IF(SUM(N$7:N$9)&gt;0,RANK(N8,N$7:N$9,0),""),"")</f>
      </c>
      <c r="Q8" s="18">
        <v>2</v>
      </c>
      <c r="R8" s="19" t="s">
        <v>2</v>
      </c>
      <c r="S8" s="16">
        <f>IF(ISBLANK(T7),"",CONCATENATE(RIGHT(T7),"-",LEFT(T7)))</f>
      </c>
      <c r="T8" s="20"/>
      <c r="U8" s="3"/>
      <c r="V8" s="7">
        <f>IF(COUNT(AG8:AI8)&gt;0,SUM(AS8:AU8),"")</f>
      </c>
      <c r="W8" s="7">
        <f>IF(COUNT(V8:V8)&gt;0,IF(SUM(V$7:V$9)&gt;0,RANK(V8,V$7:V$9,0),""),"")</f>
      </c>
      <c r="Y8" s="21">
        <f t="shared" si="0"/>
      </c>
      <c r="Z8" s="21">
        <f t="shared" si="0"/>
      </c>
      <c r="AA8" s="21">
        <f t="shared" si="0"/>
      </c>
      <c r="AB8" s="55"/>
      <c r="AC8" s="21">
        <f t="shared" si="1"/>
      </c>
      <c r="AD8" s="21">
        <f t="shared" si="1"/>
      </c>
      <c r="AE8" s="21">
        <f t="shared" si="1"/>
      </c>
      <c r="AF8" s="55"/>
      <c r="AG8" s="21">
        <f t="shared" si="2"/>
      </c>
      <c r="AH8" s="21">
        <f t="shared" si="2"/>
      </c>
      <c r="AI8" s="21">
        <f t="shared" si="2"/>
      </c>
      <c r="AJ8" s="55"/>
      <c r="AK8" s="55">
        <f t="shared" si="3"/>
      </c>
      <c r="AL8" s="55">
        <f t="shared" si="3"/>
      </c>
      <c r="AM8" s="55">
        <f t="shared" si="3"/>
      </c>
      <c r="AN8" s="55"/>
      <c r="AO8" s="55">
        <f t="shared" si="4"/>
      </c>
      <c r="AP8" s="55">
        <f t="shared" si="4"/>
      </c>
      <c r="AQ8" s="55">
        <f t="shared" si="4"/>
      </c>
      <c r="AR8" s="55"/>
      <c r="AS8" s="55">
        <f t="shared" si="5"/>
      </c>
      <c r="AT8" s="55">
        <f t="shared" si="5"/>
      </c>
      <c r="AU8" s="55">
        <f t="shared" si="5"/>
      </c>
    </row>
    <row r="9" spans="1:47" ht="28.5" customHeight="1">
      <c r="A9" s="18">
        <v>3</v>
      </c>
      <c r="B9" s="19" t="s">
        <v>2</v>
      </c>
      <c r="C9" s="16">
        <f>IF(ISBLANK(E7),"",CONCATENATE(RIGHT(E7),"-",LEFT(E7)))</f>
      </c>
      <c r="D9" s="16">
        <f>IF(ISBLANK(E8),"",CONCATENATE(RIGHT(E8),"-",LEFT(E8)))</f>
      </c>
      <c r="E9" s="20"/>
      <c r="F9" s="7">
        <f>IF(COUNT(Y9:AA9)&gt;0,SUM(AK9:AM9),"")</f>
      </c>
      <c r="G9" s="7">
        <f>IF(COUNT(F9:F9)&gt;0,IF(SUM(F$7:F$9)&gt;0,RANK(F9,F$7:F$9,0),""),"")</f>
      </c>
      <c r="H9" s="17"/>
      <c r="I9" s="18">
        <v>3</v>
      </c>
      <c r="J9" s="19" t="s">
        <v>2</v>
      </c>
      <c r="K9" s="16">
        <f>IF(ISBLANK(M7),"",CONCATENATE(RIGHT(M7),"-",LEFT(M7)))</f>
      </c>
      <c r="L9" s="16">
        <f>IF(ISBLANK(M8),"",CONCATENATE(RIGHT(M8),"-",LEFT(M8)))</f>
      </c>
      <c r="M9" s="20"/>
      <c r="N9" s="7">
        <f>IF(COUNT(AC9:AE9)&gt;0,SUM(AO9:AQ9),"")</f>
      </c>
      <c r="O9" s="7">
        <f>IF(COUNT(N9:N9)&gt;0,IF(SUM(N$7:N$9)&gt;0,RANK(N9,N$7:N$9,0),""),"")</f>
      </c>
      <c r="Q9" s="18">
        <v>3</v>
      </c>
      <c r="R9" s="19" t="s">
        <v>2</v>
      </c>
      <c r="S9" s="16">
        <f>IF(ISBLANK(U7),"",CONCATENATE(RIGHT(U7),"-",LEFT(U7)))</f>
      </c>
      <c r="T9" s="16">
        <f>IF(ISBLANK(U8),"",CONCATENATE(RIGHT(U8),"-",LEFT(U8)))</f>
      </c>
      <c r="U9" s="20"/>
      <c r="V9" s="7">
        <f>IF(COUNT(AG9:AI9)&gt;0,SUM(AS9:AU9),"")</f>
      </c>
      <c r="W9" s="7">
        <f>IF(COUNT(V9:V9)&gt;0,IF(SUM(V$7:V$9)&gt;0,RANK(V9,V$7:V$9,0),""),"")</f>
      </c>
      <c r="Y9" s="21">
        <f t="shared" si="0"/>
      </c>
      <c r="Z9" s="21">
        <f t="shared" si="0"/>
      </c>
      <c r="AA9" s="21">
        <f t="shared" si="0"/>
      </c>
      <c r="AB9" s="55"/>
      <c r="AC9" s="21">
        <f t="shared" si="1"/>
      </c>
      <c r="AD9" s="21">
        <f t="shared" si="1"/>
      </c>
      <c r="AE9" s="21">
        <f t="shared" si="1"/>
      </c>
      <c r="AF9" s="55"/>
      <c r="AG9" s="21">
        <f t="shared" si="2"/>
      </c>
      <c r="AH9" s="21">
        <f t="shared" si="2"/>
      </c>
      <c r="AI9" s="21">
        <f t="shared" si="2"/>
      </c>
      <c r="AJ9" s="55"/>
      <c r="AK9" s="55">
        <f t="shared" si="3"/>
      </c>
      <c r="AL9" s="55">
        <f t="shared" si="3"/>
      </c>
      <c r="AM9" s="55">
        <f t="shared" si="3"/>
      </c>
      <c r="AN9" s="55"/>
      <c r="AO9" s="55">
        <f t="shared" si="4"/>
      </c>
      <c r="AP9" s="55">
        <f t="shared" si="4"/>
      </c>
      <c r="AQ9" s="55">
        <f t="shared" si="4"/>
      </c>
      <c r="AR9" s="55"/>
      <c r="AS9" s="55">
        <f t="shared" si="5"/>
      </c>
      <c r="AT9" s="55">
        <f t="shared" si="5"/>
      </c>
      <c r="AU9" s="55">
        <f t="shared" si="5"/>
      </c>
    </row>
    <row r="10" spans="1:15" ht="28.5" customHeight="1">
      <c r="A10" s="23"/>
      <c r="B10" s="24"/>
      <c r="C10" s="17"/>
      <c r="D10" s="17"/>
      <c r="E10" s="17"/>
      <c r="F10" s="17"/>
      <c r="G10" s="17"/>
      <c r="H10" s="17"/>
      <c r="I10" s="23"/>
      <c r="J10" s="24"/>
      <c r="K10" s="17"/>
      <c r="L10" s="17"/>
      <c r="M10" s="17"/>
      <c r="N10" s="17"/>
      <c r="O10" s="17"/>
    </row>
    <row r="11" spans="1:15" ht="28.5" customHeight="1">
      <c r="A11" s="23"/>
      <c r="B11" s="24"/>
      <c r="C11" s="17"/>
      <c r="D11" s="17"/>
      <c r="E11" s="17"/>
      <c r="F11" s="17"/>
      <c r="G11" s="17"/>
      <c r="H11" s="17"/>
      <c r="I11" s="23"/>
      <c r="J11" s="125" t="s">
        <v>9</v>
      </c>
      <c r="K11" s="126"/>
      <c r="L11" s="114" t="s">
        <v>96</v>
      </c>
      <c r="M11" s="115"/>
      <c r="N11" s="28" t="s">
        <v>96</v>
      </c>
      <c r="O11" s="28" t="s">
        <v>96</v>
      </c>
    </row>
    <row r="12" spans="1:15" ht="28.5" customHeight="1">
      <c r="A12" s="23"/>
      <c r="B12" s="24"/>
      <c r="C12" s="17"/>
      <c r="D12" s="17"/>
      <c r="E12" s="17"/>
      <c r="F12" s="17"/>
      <c r="G12" s="17"/>
      <c r="H12" s="17"/>
      <c r="I12" s="23"/>
      <c r="J12" s="125" t="s">
        <v>2</v>
      </c>
      <c r="K12" s="126"/>
      <c r="L12" s="127" t="s">
        <v>54</v>
      </c>
      <c r="M12" s="128"/>
      <c r="N12" s="29" t="s">
        <v>72</v>
      </c>
      <c r="O12" s="29" t="s">
        <v>43</v>
      </c>
    </row>
    <row r="13" spans="1:15" ht="28.5" customHeight="1">
      <c r="A13" s="23"/>
      <c r="B13" s="24"/>
      <c r="C13" s="17"/>
      <c r="D13" s="17"/>
      <c r="E13" s="17"/>
      <c r="F13" s="17"/>
      <c r="G13" s="17"/>
      <c r="H13" s="17"/>
      <c r="I13" s="23"/>
      <c r="J13" s="125" t="s">
        <v>2</v>
      </c>
      <c r="K13" s="126"/>
      <c r="L13" s="127" t="s">
        <v>51</v>
      </c>
      <c r="M13" s="128"/>
      <c r="N13" s="29" t="s">
        <v>49</v>
      </c>
      <c r="O13" s="29" t="s">
        <v>73</v>
      </c>
    </row>
    <row r="14" spans="1:15" ht="28.5" customHeight="1">
      <c r="A14" s="23"/>
      <c r="B14" s="24"/>
      <c r="C14" s="17"/>
      <c r="D14" s="17"/>
      <c r="E14" s="17"/>
      <c r="F14" s="17"/>
      <c r="G14" s="17"/>
      <c r="H14" s="17"/>
      <c r="I14" s="23"/>
      <c r="J14" s="125" t="s">
        <v>2</v>
      </c>
      <c r="K14" s="126"/>
      <c r="L14" s="127" t="s">
        <v>71</v>
      </c>
      <c r="M14" s="128"/>
      <c r="N14" s="29" t="s">
        <v>47</v>
      </c>
      <c r="O14" s="29" t="s">
        <v>45</v>
      </c>
    </row>
    <row r="15" spans="1:15" ht="28.5" customHeight="1">
      <c r="A15" s="23"/>
      <c r="B15" s="24"/>
      <c r="C15" s="17"/>
      <c r="D15" s="17"/>
      <c r="E15" s="17"/>
      <c r="F15" s="17"/>
      <c r="G15" s="17"/>
      <c r="H15" s="17"/>
      <c r="I15" s="23"/>
      <c r="J15" s="24"/>
      <c r="K15" s="17"/>
      <c r="L15" s="17"/>
      <c r="M15" s="17"/>
      <c r="N15" s="17"/>
      <c r="O15" s="17"/>
    </row>
    <row r="16" spans="1:23" ht="28.5" customHeight="1">
      <c r="A16" s="124" t="s">
        <v>158</v>
      </c>
      <c r="B16" s="124"/>
      <c r="C16" s="124"/>
      <c r="D16" s="124"/>
      <c r="E16" s="124"/>
      <c r="F16" s="124"/>
      <c r="G16" s="124"/>
      <c r="H16" s="124"/>
      <c r="I16" s="124"/>
      <c r="J16" s="124"/>
      <c r="K16" s="124"/>
      <c r="L16" s="124"/>
      <c r="M16" s="124"/>
      <c r="N16" s="124"/>
      <c r="O16" s="124"/>
      <c r="P16" s="124"/>
      <c r="Q16" s="124"/>
      <c r="R16" s="124"/>
      <c r="S16" s="124"/>
      <c r="T16" s="124"/>
      <c r="U16" s="124"/>
      <c r="V16" s="124"/>
      <c r="W16" s="124"/>
    </row>
    <row r="17" spans="1:23" ht="28.5" customHeight="1">
      <c r="A17" s="17"/>
      <c r="B17" s="50" t="s">
        <v>74</v>
      </c>
      <c r="C17" s="18">
        <v>1</v>
      </c>
      <c r="D17" s="18">
        <v>2</v>
      </c>
      <c r="E17" s="18">
        <v>3</v>
      </c>
      <c r="F17" s="18" t="s">
        <v>0</v>
      </c>
      <c r="G17" s="50" t="s">
        <v>1</v>
      </c>
      <c r="H17" s="17"/>
      <c r="I17" s="17"/>
      <c r="J17" s="50" t="s">
        <v>75</v>
      </c>
      <c r="K17" s="18">
        <v>1</v>
      </c>
      <c r="L17" s="18">
        <v>2</v>
      </c>
      <c r="M17" s="18">
        <v>3</v>
      </c>
      <c r="N17" s="18" t="s">
        <v>0</v>
      </c>
      <c r="O17" s="50" t="s">
        <v>1</v>
      </c>
      <c r="Q17" s="17"/>
      <c r="R17" s="50" t="s">
        <v>76</v>
      </c>
      <c r="S17" s="18">
        <v>1</v>
      </c>
      <c r="T17" s="18">
        <v>2</v>
      </c>
      <c r="U17" s="18">
        <v>3</v>
      </c>
      <c r="V17" s="18" t="s">
        <v>0</v>
      </c>
      <c r="W17" s="50" t="s">
        <v>1</v>
      </c>
    </row>
    <row r="18" spans="1:47" ht="28.5" customHeight="1">
      <c r="A18" s="18" t="s">
        <v>56</v>
      </c>
      <c r="B18" s="5">
        <f>IF(SUM($F$7:$F$9)=3,INDEX($B$7:$B$9,MATCH(1,$G$7:$G$9,0)),"")</f>
      </c>
      <c r="C18" s="20"/>
      <c r="D18" s="3"/>
      <c r="E18" s="3"/>
      <c r="F18" s="7">
        <f>IF(COUNT(Y18:AA18)&gt;0,SUM(AK18:AM18),"")</f>
      </c>
      <c r="G18" s="7">
        <f>IF(COUNT(F18:F18)&gt;0,IF(SUM(F$18:F$20)&gt;0,RANK(F18,F$18:F$20,0),""),"")</f>
      </c>
      <c r="H18" s="17"/>
      <c r="I18" s="18" t="s">
        <v>78</v>
      </c>
      <c r="J18" s="4">
        <f>IF(SUM($V$7:$V$9)=3,INDEX($R$7:$R$9,MATCH(2,$W$7:$W$9,0)),"")</f>
      </c>
      <c r="K18" s="20"/>
      <c r="L18" s="3"/>
      <c r="M18" s="3"/>
      <c r="N18" s="7">
        <f>IF(COUNT(AC18:AE18)&gt;0,SUM(AO18:AQ18),"")</f>
      </c>
      <c r="O18" s="7">
        <f>IF(COUNT(N18:N18)&gt;0,IF(SUM(N$18:N$20)&gt;0,3+RANK(N18,N$18:N$20,0),""),"")</f>
      </c>
      <c r="Q18" s="18" t="s">
        <v>60</v>
      </c>
      <c r="R18" s="4">
        <f>IF(SUM($F$7:$F$9)=3,INDEX($B$7:$B$9,MATCH(3,$G$7:$G$9,0)),"")</f>
      </c>
      <c r="S18" s="20"/>
      <c r="T18" s="3"/>
      <c r="U18" s="3"/>
      <c r="V18" s="7">
        <f>IF(COUNT(AG18:AI18)&gt;0,SUM(AS18:AU18),"")</f>
      </c>
      <c r="W18" s="7">
        <f>IF(COUNT(V18:V18)&gt;0,IF(SUM(V$18:V$20)&gt;0,6+RANK(V18,V$18:V$20,0),""),"")</f>
      </c>
      <c r="Y18" s="21">
        <f aca="true" t="shared" si="6" ref="Y18:AA20">IF(C18="","",VALUE(LEFT(C18)))</f>
      </c>
      <c r="Z18" s="21">
        <f t="shared" si="6"/>
      </c>
      <c r="AA18" s="21">
        <f t="shared" si="6"/>
      </c>
      <c r="AB18" s="55"/>
      <c r="AC18" s="21">
        <f aca="true" t="shared" si="7" ref="AC18:AE20">IF(K18="","",VALUE(LEFT(K18)))</f>
      </c>
      <c r="AD18" s="21">
        <f t="shared" si="7"/>
      </c>
      <c r="AE18" s="21">
        <f t="shared" si="7"/>
      </c>
      <c r="AF18" s="55"/>
      <c r="AG18" s="21">
        <f aca="true" t="shared" si="8" ref="AG18:AI20">IF(S18="","",VALUE(LEFT(S18)))</f>
      </c>
      <c r="AH18" s="21">
        <f t="shared" si="8"/>
      </c>
      <c r="AI18" s="21">
        <f t="shared" si="8"/>
      </c>
      <c r="AJ18" s="55"/>
      <c r="AK18" s="55">
        <f aca="true" t="shared" si="9" ref="AK18:AM20">IF(C18="","",IF(Y18&gt;$Z$6,1,""))</f>
      </c>
      <c r="AL18" s="55">
        <f t="shared" si="9"/>
      </c>
      <c r="AM18" s="55">
        <f t="shared" si="9"/>
      </c>
      <c r="AN18" s="55"/>
      <c r="AO18" s="55">
        <f aca="true" t="shared" si="10" ref="AO18:AQ20">IF(K18="","",IF(AC18&gt;$Z$6,1,""))</f>
      </c>
      <c r="AP18" s="55">
        <f t="shared" si="10"/>
      </c>
      <c r="AQ18" s="55">
        <f t="shared" si="10"/>
      </c>
      <c r="AR18" s="55"/>
      <c r="AS18" s="55">
        <f aca="true" t="shared" si="11" ref="AS18:AU20">IF(S18="","",IF(AG18&gt;$Z$6,1,""))</f>
      </c>
      <c r="AT18" s="55">
        <f t="shared" si="11"/>
      </c>
      <c r="AU18" s="55">
        <f t="shared" si="11"/>
      </c>
    </row>
    <row r="19" spans="1:47" ht="28.5" customHeight="1">
      <c r="A19" s="18" t="s">
        <v>57</v>
      </c>
      <c r="B19" s="4">
        <f>IF(SUM($N$7:$N$9)=3,INDEX($J$7:$J$9,MATCH(1,$O$7:$O$9,0)),"")</f>
      </c>
      <c r="C19" s="16">
        <f>IF(ISBLANK(D18),"",CONCATENATE(RIGHT(D18),"-",LEFT(D18)))</f>
      </c>
      <c r="D19" s="20"/>
      <c r="E19" s="3"/>
      <c r="F19" s="7">
        <f>IF(COUNT(Y19:AA19)&gt;0,SUM(AK19:AM19),"")</f>
      </c>
      <c r="G19" s="7">
        <f>IF(COUNT(F19:F19)&gt;0,IF(SUM(F$18:F$20)&gt;0,RANK(F19,F$18:F$20,0),""),"")</f>
      </c>
      <c r="H19" s="17"/>
      <c r="I19" s="18" t="s">
        <v>58</v>
      </c>
      <c r="J19" s="4">
        <f>IF(SUM($N$7:$N$9)=3,INDEX($J$7:$J$9,MATCH(2,$O$7:$O$9,0)),"")</f>
      </c>
      <c r="K19" s="16">
        <f>IF(ISBLANK(L18),"",CONCATENATE(RIGHT(L18),"-",LEFT(L18)))</f>
      </c>
      <c r="L19" s="20"/>
      <c r="M19" s="3"/>
      <c r="N19" s="7">
        <f>IF(COUNT(AC19:AE19)&gt;0,SUM(AO19:AQ19),"")</f>
      </c>
      <c r="O19" s="7">
        <f>IF(COUNT(N19:N19)&gt;0,IF(SUM(N$18:N$20)&gt;0,3+RANK(N19,N$18:N$20,0),""),"")</f>
      </c>
      <c r="Q19" s="18" t="s">
        <v>61</v>
      </c>
      <c r="R19" s="4">
        <f>IF(SUM($N$7:$N$9)=3,INDEX($J$7:$J$9,MATCH(3,$O$7:$O$9,0)),"")</f>
      </c>
      <c r="S19" s="16">
        <f>IF(ISBLANK(T18),"",CONCATENATE(RIGHT(T18),"-",LEFT(T18)))</f>
      </c>
      <c r="T19" s="20"/>
      <c r="U19" s="3"/>
      <c r="V19" s="7">
        <f>IF(COUNT(AG19:AI19)&gt;0,SUM(AS19:AU19),"")</f>
      </c>
      <c r="W19" s="7">
        <f>IF(COUNT(V19:V19)&gt;0,IF(SUM(V$18:V$20)&gt;0,6+RANK(V19,V$18:V$20,0),""),"")</f>
      </c>
      <c r="Y19" s="21">
        <f t="shared" si="6"/>
      </c>
      <c r="Z19" s="21">
        <f t="shared" si="6"/>
      </c>
      <c r="AA19" s="21">
        <f t="shared" si="6"/>
      </c>
      <c r="AB19" s="55"/>
      <c r="AC19" s="21">
        <f t="shared" si="7"/>
      </c>
      <c r="AD19" s="21">
        <f t="shared" si="7"/>
      </c>
      <c r="AE19" s="21">
        <f t="shared" si="7"/>
      </c>
      <c r="AF19" s="55"/>
      <c r="AG19" s="21">
        <f t="shared" si="8"/>
      </c>
      <c r="AH19" s="21">
        <f t="shared" si="8"/>
      </c>
      <c r="AI19" s="21">
        <f t="shared" si="8"/>
      </c>
      <c r="AJ19" s="55"/>
      <c r="AK19" s="55">
        <f t="shared" si="9"/>
      </c>
      <c r="AL19" s="55">
        <f t="shared" si="9"/>
      </c>
      <c r="AM19" s="55">
        <f t="shared" si="9"/>
      </c>
      <c r="AN19" s="55"/>
      <c r="AO19" s="55">
        <f t="shared" si="10"/>
      </c>
      <c r="AP19" s="55">
        <f t="shared" si="10"/>
      </c>
      <c r="AQ19" s="55">
        <f t="shared" si="10"/>
      </c>
      <c r="AR19" s="55"/>
      <c r="AS19" s="55">
        <f t="shared" si="11"/>
      </c>
      <c r="AT19" s="55">
        <f t="shared" si="11"/>
      </c>
      <c r="AU19" s="55">
        <f t="shared" si="11"/>
      </c>
    </row>
    <row r="20" spans="1:47" ht="28.5" customHeight="1">
      <c r="A20" s="18" t="s">
        <v>77</v>
      </c>
      <c r="B20" s="4">
        <f>IF(SUM($V$7:$V$9)=3,INDEX($R$7:$R$9,MATCH(1,$W$7:$W$9,0)),"")</f>
      </c>
      <c r="C20" s="16">
        <f>IF(ISBLANK(E18),"",CONCATENATE(RIGHT(E18),"-",LEFT(E18)))</f>
      </c>
      <c r="D20" s="16">
        <f>IF(ISBLANK(E19),"",CONCATENATE(RIGHT(E19),"-",LEFT(E19)))</f>
      </c>
      <c r="E20" s="20"/>
      <c r="F20" s="7">
        <f>IF(COUNT(Y20:AA20)&gt;0,SUM(AK20:AM20),"")</f>
      </c>
      <c r="G20" s="7">
        <f>IF(COUNT(F20:F20)&gt;0,IF(SUM(F$18:F$20)&gt;0,RANK(F20,F$18:F$20,0),""),"")</f>
      </c>
      <c r="H20" s="17"/>
      <c r="I20" s="18" t="s">
        <v>59</v>
      </c>
      <c r="J20" s="4">
        <f>IF(SUM($F$7:$F$9)=3,INDEX($B$7:$B$9,MATCH(2,$G$7:$G$9,0)),"")</f>
      </c>
      <c r="K20" s="16">
        <f>IF(ISBLANK(M18),"",CONCATENATE(RIGHT(M18),"-",LEFT(M18)))</f>
      </c>
      <c r="L20" s="16">
        <f>IF(ISBLANK(M19),"",CONCATENATE(RIGHT(M19),"-",LEFT(M19)))</f>
      </c>
      <c r="M20" s="20"/>
      <c r="N20" s="7">
        <f>IF(COUNT(AC20:AE20)&gt;0,SUM(AO20:AQ20),"")</f>
      </c>
      <c r="O20" s="7">
        <f>IF(COUNT(N20:N20)&gt;0,IF(SUM(N$18:N$20)&gt;0,3+RANK(N20,N$18:N$20,0),""),"")</f>
      </c>
      <c r="Q20" s="18" t="s">
        <v>79</v>
      </c>
      <c r="R20" s="4">
        <f>IF(SUM($V$7:$V$9)=3,INDEX($R$7:$R$9,MATCH(3,$W$7:$W$9,0)),"")</f>
      </c>
      <c r="S20" s="16">
        <f>IF(ISBLANK(U18),"",CONCATENATE(RIGHT(U18),"-",LEFT(U18)))</f>
      </c>
      <c r="T20" s="16">
        <f>IF(ISBLANK(U19),"",CONCATENATE(RIGHT(U19),"-",LEFT(U19)))</f>
      </c>
      <c r="U20" s="20"/>
      <c r="V20" s="7">
        <f>IF(COUNT(AG20:AI20)&gt;0,SUM(AS20:AU20),"")</f>
      </c>
      <c r="W20" s="7">
        <f>IF(COUNT(V20:V20)&gt;0,IF(SUM(V$18:V$20)&gt;0,6+RANK(V20,V$18:V$20,0),""),"")</f>
      </c>
      <c r="Y20" s="21">
        <f t="shared" si="6"/>
      </c>
      <c r="Z20" s="21">
        <f t="shared" si="6"/>
      </c>
      <c r="AA20" s="21">
        <f t="shared" si="6"/>
      </c>
      <c r="AB20" s="55"/>
      <c r="AC20" s="21">
        <f t="shared" si="7"/>
      </c>
      <c r="AD20" s="21">
        <f t="shared" si="7"/>
      </c>
      <c r="AE20" s="21">
        <f t="shared" si="7"/>
      </c>
      <c r="AF20" s="55"/>
      <c r="AG20" s="21">
        <f t="shared" si="8"/>
      </c>
      <c r="AH20" s="21">
        <f t="shared" si="8"/>
      </c>
      <c r="AI20" s="21">
        <f t="shared" si="8"/>
      </c>
      <c r="AJ20" s="55"/>
      <c r="AK20" s="55">
        <f t="shared" si="9"/>
      </c>
      <c r="AL20" s="55">
        <f t="shared" si="9"/>
      </c>
      <c r="AM20" s="55">
        <f t="shared" si="9"/>
      </c>
      <c r="AN20" s="55"/>
      <c r="AO20" s="55">
        <f t="shared" si="10"/>
      </c>
      <c r="AP20" s="55">
        <f t="shared" si="10"/>
      </c>
      <c r="AQ20" s="55">
        <f t="shared" si="10"/>
      </c>
      <c r="AR20" s="55"/>
      <c r="AS20" s="55">
        <f t="shared" si="11"/>
      </c>
      <c r="AT20" s="55">
        <f t="shared" si="11"/>
      </c>
      <c r="AU20" s="55">
        <f t="shared" si="11"/>
      </c>
    </row>
    <row r="21" spans="1:23" ht="28.5" customHeight="1">
      <c r="A21" s="23"/>
      <c r="B21" s="24"/>
      <c r="C21" s="17"/>
      <c r="D21" s="17"/>
      <c r="F21" s="17"/>
      <c r="G21" s="17"/>
      <c r="H21" s="17"/>
      <c r="I21" s="23"/>
      <c r="J21" s="24"/>
      <c r="K21" s="17"/>
      <c r="L21" s="17"/>
      <c r="N21" s="17"/>
      <c r="O21" s="17"/>
      <c r="Q21" s="23"/>
      <c r="R21" s="24"/>
      <c r="S21" s="17"/>
      <c r="T21" s="17"/>
      <c r="V21" s="17"/>
      <c r="W21" s="17"/>
    </row>
    <row r="22" ht="28.5" customHeight="1"/>
    <row r="23" spans="1:15" ht="28.5" customHeight="1">
      <c r="A23" s="23"/>
      <c r="B23" s="24"/>
      <c r="C23" s="17"/>
      <c r="D23" s="17"/>
      <c r="E23" s="17"/>
      <c r="F23" s="17"/>
      <c r="G23" s="17"/>
      <c r="H23" s="17"/>
      <c r="I23" s="23"/>
      <c r="J23" s="125" t="s">
        <v>9</v>
      </c>
      <c r="K23" s="126"/>
      <c r="L23" s="114" t="s">
        <v>96</v>
      </c>
      <c r="M23" s="115"/>
      <c r="N23" s="28" t="s">
        <v>96</v>
      </c>
      <c r="O23" s="28" t="s">
        <v>96</v>
      </c>
    </row>
    <row r="24" spans="1:15" ht="28.5" customHeight="1">
      <c r="A24" s="23"/>
      <c r="B24" s="24"/>
      <c r="C24" s="17"/>
      <c r="D24" s="17"/>
      <c r="E24" s="17"/>
      <c r="F24" s="17"/>
      <c r="G24" s="17"/>
      <c r="H24" s="17"/>
      <c r="I24" s="23"/>
      <c r="J24" s="125" t="s">
        <v>2</v>
      </c>
      <c r="K24" s="126"/>
      <c r="L24" s="127" t="s">
        <v>86</v>
      </c>
      <c r="M24" s="128"/>
      <c r="N24" s="29" t="s">
        <v>87</v>
      </c>
      <c r="O24" s="29" t="s">
        <v>88</v>
      </c>
    </row>
    <row r="25" spans="1:15" ht="28.5" customHeight="1">
      <c r="A25" s="23"/>
      <c r="B25" s="24"/>
      <c r="C25" s="17"/>
      <c r="D25" s="17"/>
      <c r="E25" s="17"/>
      <c r="F25" s="17"/>
      <c r="G25" s="17"/>
      <c r="H25" s="17"/>
      <c r="I25" s="23"/>
      <c r="J25" s="125" t="s">
        <v>2</v>
      </c>
      <c r="K25" s="126"/>
      <c r="L25" s="127" t="s">
        <v>38</v>
      </c>
      <c r="M25" s="128"/>
      <c r="N25" s="29" t="s">
        <v>39</v>
      </c>
      <c r="O25" s="29" t="s">
        <v>90</v>
      </c>
    </row>
    <row r="26" spans="1:15" ht="28.5" customHeight="1">
      <c r="A26" s="23"/>
      <c r="B26" s="24"/>
      <c r="C26" s="17"/>
      <c r="D26" s="17"/>
      <c r="E26" s="17"/>
      <c r="F26" s="17"/>
      <c r="G26" s="17"/>
      <c r="H26" s="17"/>
      <c r="I26" s="23"/>
      <c r="J26" s="125" t="s">
        <v>2</v>
      </c>
      <c r="K26" s="126"/>
      <c r="L26" s="127" t="s">
        <v>35</v>
      </c>
      <c r="M26" s="128"/>
      <c r="N26" s="29" t="s">
        <v>40</v>
      </c>
      <c r="O26" s="29" t="s">
        <v>89</v>
      </c>
    </row>
    <row r="27" ht="28.5" customHeight="1"/>
    <row r="30" ht="12.75">
      <c r="B30" s="31" t="s">
        <v>30</v>
      </c>
    </row>
    <row r="31" ht="12.75">
      <c r="B31" s="31"/>
    </row>
    <row r="32" ht="12.75">
      <c r="B32" s="32" t="s">
        <v>94</v>
      </c>
    </row>
  </sheetData>
  <mergeCells count="19">
    <mergeCell ref="A16:W16"/>
    <mergeCell ref="J26:K26"/>
    <mergeCell ref="L26:M26"/>
    <mergeCell ref="J23:K23"/>
    <mergeCell ref="J24:K24"/>
    <mergeCell ref="L24:M24"/>
    <mergeCell ref="J25:K25"/>
    <mergeCell ref="L25:M25"/>
    <mergeCell ref="L23:M23"/>
    <mergeCell ref="L14:M14"/>
    <mergeCell ref="J14:K14"/>
    <mergeCell ref="A1:W1"/>
    <mergeCell ref="J11:K11"/>
    <mergeCell ref="J12:K12"/>
    <mergeCell ref="J13:K13"/>
    <mergeCell ref="L12:M12"/>
    <mergeCell ref="L13:M13"/>
    <mergeCell ref="L11:M11"/>
    <mergeCell ref="A5:W5"/>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AN20"/>
  <sheetViews>
    <sheetView tabSelected="1" workbookViewId="0" topLeftCell="A1">
      <selection activeCell="A1" sqref="A1:C1"/>
    </sheetView>
  </sheetViews>
  <sheetFormatPr defaultColWidth="9.140625" defaultRowHeight="12.75"/>
  <cols>
    <col min="1" max="1" width="4.7109375" style="6" customWidth="1"/>
    <col min="2" max="2" width="19.7109375" style="6" customWidth="1"/>
    <col min="3" max="6" width="4.7109375" style="6" customWidth="1"/>
    <col min="7" max="8" width="8.7109375" style="6" customWidth="1"/>
    <col min="9" max="9" width="9.140625" style="6" customWidth="1"/>
    <col min="10" max="10" width="4.7109375" style="6" customWidth="1"/>
    <col min="11" max="11" width="18.140625" style="6" customWidth="1"/>
    <col min="12" max="12" width="2.00390625" style="6" hidden="1" customWidth="1"/>
    <col min="13" max="15" width="4.7109375" style="6" hidden="1" customWidth="1"/>
    <col min="16" max="17" width="8.7109375" style="6" hidden="1" customWidth="1"/>
    <col min="18" max="18" width="0.9921875" style="6" hidden="1" customWidth="1"/>
    <col min="19" max="28" width="3.7109375" style="6" hidden="1" customWidth="1"/>
    <col min="29" max="29" width="1.1484375" style="6" hidden="1" customWidth="1"/>
    <col min="30" max="30" width="2.421875" style="6" hidden="1" customWidth="1"/>
    <col min="31" max="31" width="3.7109375" style="6" hidden="1" customWidth="1"/>
    <col min="32" max="32" width="1.8515625" style="6" hidden="1" customWidth="1"/>
    <col min="33" max="33" width="7.8515625" style="6" hidden="1" customWidth="1"/>
    <col min="34" max="34" width="17.8515625" style="6" hidden="1" customWidth="1"/>
    <col min="35" max="35" width="0.9921875" style="6" hidden="1" customWidth="1"/>
    <col min="36" max="39" width="3.7109375" style="6" hidden="1" customWidth="1"/>
    <col min="40" max="52" width="3.7109375" style="6" customWidth="1"/>
    <col min="53" max="16384" width="9.140625" style="6" customWidth="1"/>
  </cols>
  <sheetData>
    <row r="1" spans="1:17" ht="28.5" customHeight="1">
      <c r="A1" s="112" t="s">
        <v>210</v>
      </c>
      <c r="B1" s="112"/>
      <c r="C1" s="112"/>
      <c r="D1" s="112"/>
      <c r="E1" s="112"/>
      <c r="F1" s="112"/>
      <c r="G1" s="112"/>
      <c r="H1" s="112"/>
      <c r="I1" s="112"/>
      <c r="J1" s="112"/>
      <c r="K1" s="112"/>
      <c r="L1" s="112"/>
      <c r="M1" s="112"/>
      <c r="N1" s="112"/>
      <c r="O1" s="112"/>
      <c r="P1" s="112"/>
      <c r="Q1" s="112"/>
    </row>
    <row r="2" spans="1:29" ht="28.5" customHeight="1">
      <c r="A2" s="113" t="s">
        <v>216</v>
      </c>
      <c r="B2" s="113"/>
      <c r="C2" s="113"/>
      <c r="D2" s="113"/>
      <c r="E2" s="113"/>
      <c r="F2" s="113"/>
      <c r="G2" s="113"/>
      <c r="H2" s="113"/>
      <c r="I2" s="113"/>
      <c r="J2" s="113"/>
      <c r="K2" s="113"/>
      <c r="L2" s="113"/>
      <c r="M2" s="113"/>
      <c r="N2" s="113"/>
      <c r="O2" s="113"/>
      <c r="P2" s="113"/>
      <c r="Q2" s="113"/>
      <c r="R2" s="61" t="str">
        <f>Control!A3</f>
        <v>Men's A Grade</v>
      </c>
      <c r="S2" s="61" t="str">
        <f>Control!B3</f>
        <v>Kean Challenge Shield</v>
      </c>
      <c r="T2" s="61">
        <f>Control!C3</f>
        <v>9</v>
      </c>
      <c r="U2" s="61">
        <f>Control!D3</f>
        <v>1</v>
      </c>
      <c r="V2" s="61">
        <f>Control!E3</f>
        <v>1</v>
      </c>
      <c r="W2" s="61">
        <f>Control!F3</f>
        <v>6</v>
      </c>
      <c r="X2" s="61">
        <f>Control!G3</f>
        <v>8</v>
      </c>
      <c r="Y2" s="61">
        <f>Control!H3</f>
        <v>12</v>
      </c>
      <c r="Z2" s="61">
        <f>Control!I3</f>
        <v>14</v>
      </c>
      <c r="AA2" s="61">
        <f>Control!J3</f>
        <v>18</v>
      </c>
      <c r="AB2" s="61">
        <f>Control!K3</f>
        <v>21</v>
      </c>
      <c r="AC2" s="61">
        <f>Control!L3</f>
        <v>0</v>
      </c>
    </row>
    <row r="3" spans="1:17" ht="28.5" customHeight="1">
      <c r="A3" s="113"/>
      <c r="B3" s="113"/>
      <c r="C3" s="113"/>
      <c r="D3" s="113"/>
      <c r="E3" s="113"/>
      <c r="F3" s="113"/>
      <c r="G3" s="113"/>
      <c r="H3" s="113"/>
      <c r="I3" s="113"/>
      <c r="J3" s="113"/>
      <c r="K3" s="113"/>
      <c r="L3" s="113"/>
      <c r="M3" s="113"/>
      <c r="N3" s="113"/>
      <c r="O3" s="113"/>
      <c r="P3" s="113"/>
      <c r="Q3" s="113"/>
    </row>
    <row r="4" spans="1:17" ht="28.5" customHeight="1">
      <c r="A4" s="37"/>
      <c r="B4" s="37"/>
      <c r="C4" s="37"/>
      <c r="D4" s="37"/>
      <c r="E4" s="37"/>
      <c r="F4" s="37"/>
      <c r="G4" s="37"/>
      <c r="H4" s="37"/>
      <c r="I4" s="37"/>
      <c r="J4" s="37"/>
      <c r="K4" s="37"/>
      <c r="L4" s="37"/>
      <c r="M4" s="37"/>
      <c r="N4" s="37"/>
      <c r="O4" s="37"/>
      <c r="P4" s="37"/>
      <c r="Q4" s="37"/>
    </row>
    <row r="5" spans="1:23" ht="28.5" customHeight="1">
      <c r="A5" s="38"/>
      <c r="I5" s="39"/>
      <c r="J5" s="38"/>
      <c r="V5" s="55" t="s">
        <v>2</v>
      </c>
      <c r="W5" s="55" t="s">
        <v>2</v>
      </c>
    </row>
    <row r="6" spans="2:23" ht="28.5" customHeight="1">
      <c r="B6" s="28" t="s">
        <v>4</v>
      </c>
      <c r="C6" s="28">
        <v>1</v>
      </c>
      <c r="D6" s="28">
        <v>2</v>
      </c>
      <c r="E6" s="28">
        <v>3</v>
      </c>
      <c r="F6" s="28">
        <v>4</v>
      </c>
      <c r="G6" s="28" t="s">
        <v>0</v>
      </c>
      <c r="H6" s="28" t="s">
        <v>1</v>
      </c>
      <c r="J6" s="68"/>
      <c r="K6" s="77"/>
      <c r="L6" s="77"/>
      <c r="M6" s="77"/>
      <c r="N6" s="77"/>
      <c r="O6" s="77"/>
      <c r="P6" s="77"/>
      <c r="Q6" s="77"/>
      <c r="V6" s="55" t="s">
        <v>2</v>
      </c>
      <c r="W6" s="55">
        <f>INT(T2/2)</f>
        <v>4</v>
      </c>
    </row>
    <row r="7" spans="1:40" ht="28.5" customHeight="1">
      <c r="A7" s="28">
        <v>1</v>
      </c>
      <c r="B7" s="60" t="str">
        <f>CONCATENATE(VLOOKUP(R7,clubs,2,)," ",S7)</f>
        <v>Auckland 1</v>
      </c>
      <c r="C7" s="41"/>
      <c r="D7" s="3" t="s">
        <v>365</v>
      </c>
      <c r="E7" s="3" t="s">
        <v>365</v>
      </c>
      <c r="F7" s="3" t="s">
        <v>365</v>
      </c>
      <c r="G7" s="7">
        <f>IF(COUNT(V7:Y7)&gt;0,SUM(AF7:AI7),"")</f>
        <v>3</v>
      </c>
      <c r="H7" s="7">
        <f>IF(COUNT(G7:G7)&gt;0,IF(SUM(G$7:G$10)&gt;0,RANK(G7,G$7:G$10,0),""),"")</f>
        <v>1</v>
      </c>
      <c r="J7" s="77"/>
      <c r="K7" s="84"/>
      <c r="L7" s="79"/>
      <c r="M7" s="80"/>
      <c r="N7" s="80"/>
      <c r="O7" s="80"/>
      <c r="P7" s="82"/>
      <c r="Q7" s="82"/>
      <c r="R7" s="6" t="s">
        <v>175</v>
      </c>
      <c r="S7" s="6">
        <v>1</v>
      </c>
      <c r="T7" s="6" t="s">
        <v>175</v>
      </c>
      <c r="U7" s="6">
        <v>2</v>
      </c>
      <c r="V7" s="21">
        <f aca="true" t="shared" si="0" ref="V7:Y10">IF(C7="","",VALUE(LEFT(C7)))</f>
      </c>
      <c r="W7" s="21">
        <f t="shared" si="0"/>
        <v>5</v>
      </c>
      <c r="X7" s="21">
        <f t="shared" si="0"/>
        <v>5</v>
      </c>
      <c r="Y7" s="21">
        <f t="shared" si="0"/>
        <v>5</v>
      </c>
      <c r="Z7" s="21"/>
      <c r="AA7" s="21">
        <f aca="true" t="shared" si="1" ref="AA7:AD10">IF(L7="","",VALUE(LEFT(L7)))</f>
      </c>
      <c r="AB7" s="21">
        <f t="shared" si="1"/>
      </c>
      <c r="AC7" s="21">
        <f t="shared" si="1"/>
      </c>
      <c r="AD7" s="21">
        <f t="shared" si="1"/>
      </c>
      <c r="AF7" s="6">
        <f aca="true" t="shared" si="2" ref="AF7:AI10">IF(C7="","",IF(V7&gt;$W$6,1,""))</f>
      </c>
      <c r="AG7" s="55">
        <f t="shared" si="2"/>
        <v>1</v>
      </c>
      <c r="AH7" s="55">
        <f t="shared" si="2"/>
        <v>1</v>
      </c>
      <c r="AI7" s="55">
        <f t="shared" si="2"/>
        <v>1</v>
      </c>
      <c r="AJ7" s="55"/>
      <c r="AK7" s="55">
        <f aca="true" t="shared" si="3" ref="AK7:AN10">IF(L7="","",IF(AA7&gt;$W$6,1,""))</f>
      </c>
      <c r="AL7" s="55">
        <f t="shared" si="3"/>
      </c>
      <c r="AM7" s="55">
        <f t="shared" si="3"/>
      </c>
      <c r="AN7" s="55">
        <f t="shared" si="3"/>
      </c>
    </row>
    <row r="8" spans="1:40" ht="28.5" customHeight="1">
      <c r="A8" s="28">
        <v>2</v>
      </c>
      <c r="B8" s="42" t="str">
        <f>CONCATENATE(VLOOKUP(R8,clubs,2,)," ",S8)</f>
        <v>North Harbour 1</v>
      </c>
      <c r="C8" s="16" t="str">
        <f>IF(ISBLANK(D7),"",CONCATENATE(RIGHT(D7),"-",LEFT(D7)))</f>
        <v>0-5</v>
      </c>
      <c r="D8" s="20"/>
      <c r="E8" s="3" t="s">
        <v>365</v>
      </c>
      <c r="F8" s="3" t="s">
        <v>365</v>
      </c>
      <c r="G8" s="7">
        <f>IF(COUNT(V8:Y8)&gt;0,SUM(AF8:AI8),"")</f>
        <v>2</v>
      </c>
      <c r="H8" s="7">
        <f>IF(COUNT(G8:G8)&gt;0,IF(SUM(G$7:G$10)&gt;0,RANK(G8,G$7:G$10,0),""),"")</f>
        <v>2</v>
      </c>
      <c r="J8" s="77"/>
      <c r="K8" s="85"/>
      <c r="L8" s="79"/>
      <c r="M8" s="79"/>
      <c r="N8" s="80"/>
      <c r="O8" s="80"/>
      <c r="P8" s="82"/>
      <c r="Q8" s="82"/>
      <c r="R8" s="6" t="s">
        <v>178</v>
      </c>
      <c r="S8" s="6">
        <v>1</v>
      </c>
      <c r="T8" s="6" t="s">
        <v>178</v>
      </c>
      <c r="U8" s="6">
        <v>1</v>
      </c>
      <c r="V8" s="21">
        <f t="shared" si="0"/>
        <v>0</v>
      </c>
      <c r="W8" s="21">
        <f t="shared" si="0"/>
      </c>
      <c r="X8" s="21">
        <f t="shared" si="0"/>
        <v>5</v>
      </c>
      <c r="Y8" s="21">
        <f t="shared" si="0"/>
        <v>5</v>
      </c>
      <c r="Z8" s="21"/>
      <c r="AA8" s="21">
        <f t="shared" si="1"/>
      </c>
      <c r="AB8" s="21">
        <f t="shared" si="1"/>
      </c>
      <c r="AC8" s="21">
        <f t="shared" si="1"/>
      </c>
      <c r="AD8" s="21">
        <f t="shared" si="1"/>
      </c>
      <c r="AF8" s="6">
        <f t="shared" si="2"/>
      </c>
      <c r="AG8" s="55">
        <f t="shared" si="2"/>
      </c>
      <c r="AH8" s="55">
        <f t="shared" si="2"/>
        <v>1</v>
      </c>
      <c r="AI8" s="55">
        <f t="shared" si="2"/>
        <v>1</v>
      </c>
      <c r="AJ8" s="55"/>
      <c r="AK8" s="55">
        <f t="shared" si="3"/>
      </c>
      <c r="AL8" s="55">
        <f t="shared" si="3"/>
      </c>
      <c r="AM8" s="55">
        <f t="shared" si="3"/>
      </c>
      <c r="AN8" s="55">
        <f t="shared" si="3"/>
      </c>
    </row>
    <row r="9" spans="1:40" ht="28.5" customHeight="1">
      <c r="A9" s="28">
        <v>3</v>
      </c>
      <c r="B9" s="42" t="str">
        <f>CONCATENATE(VLOOKUP(R9,clubs,2,)," ",S9)</f>
        <v>Counties Manukau 1</v>
      </c>
      <c r="C9" s="16" t="str">
        <f>IF(ISBLANK(E7),"",CONCATENATE(RIGHT(E7),"-",LEFT(E7)))</f>
        <v>0-5</v>
      </c>
      <c r="D9" s="16" t="str">
        <f>IF(ISBLANK(E8),"",CONCATENATE(RIGHT(E8),"-",LEFT(E8)))</f>
        <v>0-5</v>
      </c>
      <c r="E9" s="20"/>
      <c r="F9" s="3" t="s">
        <v>366</v>
      </c>
      <c r="G9" s="7">
        <v>1</v>
      </c>
      <c r="H9" s="7">
        <f>IF(COUNT(G9:G9)&gt;0,IF(SUM(G$7:G$10)&gt;0,RANK(G9,G$7:G$10,0),""),"")</f>
        <v>3</v>
      </c>
      <c r="J9" s="77"/>
      <c r="K9" s="84"/>
      <c r="L9" s="79"/>
      <c r="M9" s="79"/>
      <c r="N9" s="79"/>
      <c r="O9" s="80"/>
      <c r="P9" s="82"/>
      <c r="Q9" s="82"/>
      <c r="R9" s="6" t="s">
        <v>187</v>
      </c>
      <c r="S9" s="6">
        <v>1</v>
      </c>
      <c r="T9" s="6" t="s">
        <v>175</v>
      </c>
      <c r="U9" s="6">
        <v>3</v>
      </c>
      <c r="V9" s="21">
        <f t="shared" si="0"/>
        <v>0</v>
      </c>
      <c r="W9" s="21">
        <f t="shared" si="0"/>
        <v>0</v>
      </c>
      <c r="X9" s="21">
        <f t="shared" si="0"/>
      </c>
      <c r="Y9" s="21">
        <f t="shared" si="0"/>
        <v>4</v>
      </c>
      <c r="Z9" s="21"/>
      <c r="AA9" s="21">
        <f t="shared" si="1"/>
      </c>
      <c r="AB9" s="21">
        <f t="shared" si="1"/>
      </c>
      <c r="AC9" s="21">
        <f t="shared" si="1"/>
      </c>
      <c r="AD9" s="21">
        <f t="shared" si="1"/>
      </c>
      <c r="AF9" s="6">
        <f t="shared" si="2"/>
      </c>
      <c r="AG9" s="55">
        <f t="shared" si="2"/>
      </c>
      <c r="AH9" s="55">
        <f t="shared" si="2"/>
      </c>
      <c r="AI9" s="55">
        <f t="shared" si="2"/>
      </c>
      <c r="AJ9" s="55"/>
      <c r="AK9" s="55">
        <f t="shared" si="3"/>
      </c>
      <c r="AL9" s="55">
        <f t="shared" si="3"/>
      </c>
      <c r="AM9" s="55">
        <f t="shared" si="3"/>
      </c>
      <c r="AN9" s="55">
        <f t="shared" si="3"/>
      </c>
    </row>
    <row r="10" spans="1:40" ht="28.5" customHeight="1">
      <c r="A10" s="28">
        <v>4</v>
      </c>
      <c r="B10" s="42" t="str">
        <f>CONCATENATE(VLOOKUP(R10,clubs,2,)," ",S10)</f>
        <v>Waikato 1</v>
      </c>
      <c r="C10" s="16" t="str">
        <f>IF(ISBLANK(F7),"",CONCATENATE(RIGHT(F7),"-",LEFT(F7)))</f>
        <v>0-5</v>
      </c>
      <c r="D10" s="16" t="str">
        <f>IF(ISBLANK(F8),"",CONCATENATE(RIGHT(F8),"-",LEFT(F8)))</f>
        <v>0-5</v>
      </c>
      <c r="E10" s="16" t="str">
        <f>IF(ISBLANK(F9),"",CONCATENATE(RIGHT(F9),"-",LEFT(F9)))</f>
        <v>1-4</v>
      </c>
      <c r="F10" s="20"/>
      <c r="G10" s="7">
        <f>IF(COUNT(V10:Y10)&gt;0,SUM(AF10:AI10),"")</f>
        <v>0</v>
      </c>
      <c r="H10" s="7">
        <f>IF(COUNT(G10:G10)&gt;0,IF(SUM(G$7:G$10)&gt;0,RANK(G10,G$7:G$10,0),""),"")</f>
        <v>4</v>
      </c>
      <c r="J10" s="77"/>
      <c r="K10" s="84"/>
      <c r="L10" s="79"/>
      <c r="M10" s="79"/>
      <c r="N10" s="79"/>
      <c r="O10" s="79"/>
      <c r="P10" s="82"/>
      <c r="Q10" s="82"/>
      <c r="R10" s="6" t="s">
        <v>183</v>
      </c>
      <c r="S10" s="6">
        <v>1</v>
      </c>
      <c r="T10" s="6">
        <v>1</v>
      </c>
      <c r="U10" s="6">
        <v>2</v>
      </c>
      <c r="V10" s="21">
        <f t="shared" si="0"/>
        <v>0</v>
      </c>
      <c r="W10" s="21">
        <f t="shared" si="0"/>
        <v>0</v>
      </c>
      <c r="X10" s="21">
        <f t="shared" si="0"/>
        <v>1</v>
      </c>
      <c r="Y10" s="21">
        <f t="shared" si="0"/>
      </c>
      <c r="Z10" s="21"/>
      <c r="AA10" s="21">
        <f t="shared" si="1"/>
      </c>
      <c r="AB10" s="21">
        <f t="shared" si="1"/>
      </c>
      <c r="AC10" s="21">
        <f t="shared" si="1"/>
      </c>
      <c r="AD10" s="21">
        <f t="shared" si="1"/>
      </c>
      <c r="AF10" s="6">
        <f t="shared" si="2"/>
      </c>
      <c r="AG10" s="55">
        <f t="shared" si="2"/>
      </c>
      <c r="AH10" s="55">
        <f t="shared" si="2"/>
      </c>
      <c r="AI10" s="55">
        <f t="shared" si="2"/>
      </c>
      <c r="AJ10" s="55"/>
      <c r="AK10" s="55">
        <f t="shared" si="3"/>
      </c>
      <c r="AL10" s="55">
        <f t="shared" si="3"/>
      </c>
      <c r="AM10" s="55">
        <f t="shared" si="3"/>
      </c>
      <c r="AN10" s="55">
        <f t="shared" si="3"/>
      </c>
    </row>
    <row r="11" spans="18:21" ht="28.5" customHeight="1">
      <c r="R11" s="6" t="s">
        <v>182</v>
      </c>
      <c r="S11" s="6" t="s">
        <v>201</v>
      </c>
      <c r="T11" s="6" t="s">
        <v>182</v>
      </c>
      <c r="U11" s="6" t="s">
        <v>201</v>
      </c>
    </row>
    <row r="12" spans="2:23" ht="28.5" customHeight="1">
      <c r="B12" s="28" t="s">
        <v>9</v>
      </c>
      <c r="C12" s="114" t="str">
        <f>CONCATENATE("Table ",R12)</f>
        <v>Table 1</v>
      </c>
      <c r="D12" s="115"/>
      <c r="E12" s="114" t="str">
        <f>CONCATENATE("Table ",T12)</f>
        <v>Table 2</v>
      </c>
      <c r="F12" s="116"/>
      <c r="G12" s="66"/>
      <c r="H12" s="44"/>
      <c r="R12" s="6">
        <f>U2</f>
        <v>1</v>
      </c>
      <c r="T12" s="6">
        <f>R12+1</f>
        <v>2</v>
      </c>
      <c r="V12" s="6">
        <f>T12+1</f>
        <v>3</v>
      </c>
      <c r="W12" s="6">
        <f>V12+1</f>
        <v>4</v>
      </c>
    </row>
    <row r="13" spans="2:20" ht="28.5" customHeight="1">
      <c r="B13" s="28" t="s">
        <v>212</v>
      </c>
      <c r="C13" s="108" t="s">
        <v>43</v>
      </c>
      <c r="D13" s="108"/>
      <c r="E13" s="108" t="s">
        <v>44</v>
      </c>
      <c r="F13" s="109"/>
      <c r="G13" s="88"/>
      <c r="H13" s="86"/>
      <c r="K13" s="69"/>
      <c r="S13" s="6">
        <f>W2</f>
        <v>6</v>
      </c>
      <c r="T13" s="6" t="s">
        <v>2</v>
      </c>
    </row>
    <row r="14" spans="2:19" ht="28.5" customHeight="1">
      <c r="B14" s="28" t="s">
        <v>213</v>
      </c>
      <c r="C14" s="110" t="s">
        <v>47</v>
      </c>
      <c r="D14" s="111"/>
      <c r="E14" s="108" t="s">
        <v>48</v>
      </c>
      <c r="F14" s="109"/>
      <c r="G14" s="67"/>
      <c r="H14" s="87"/>
      <c r="K14" s="69"/>
      <c r="S14" s="6">
        <f>X2</f>
        <v>8</v>
      </c>
    </row>
    <row r="15" spans="2:19" ht="28.5" customHeight="1">
      <c r="B15" s="28" t="s">
        <v>214</v>
      </c>
      <c r="C15" s="108" t="s">
        <v>51</v>
      </c>
      <c r="D15" s="108"/>
      <c r="E15" s="108" t="s">
        <v>52</v>
      </c>
      <c r="F15" s="109"/>
      <c r="G15" s="67"/>
      <c r="H15" s="87"/>
      <c r="K15" s="69"/>
      <c r="S15" s="6">
        <f>Y2</f>
        <v>12</v>
      </c>
    </row>
    <row r="16" spans="2:19" ht="28.5" customHeight="1">
      <c r="B16" s="44"/>
      <c r="C16" s="45"/>
      <c r="D16" s="45"/>
      <c r="E16" s="45"/>
      <c r="F16" s="45"/>
      <c r="K16" s="44"/>
      <c r="L16" s="45"/>
      <c r="M16" s="45"/>
      <c r="N16" s="45"/>
      <c r="O16" s="45"/>
      <c r="S16" s="6" t="s">
        <v>2</v>
      </c>
    </row>
    <row r="17" ht="28.5" customHeight="1"/>
    <row r="18" ht="12.75">
      <c r="B18" s="31" t="s">
        <v>30</v>
      </c>
    </row>
    <row r="20" ht="12.75">
      <c r="B20" s="6" t="s">
        <v>34</v>
      </c>
    </row>
  </sheetData>
  <sheetProtection/>
  <mergeCells count="11">
    <mergeCell ref="A1:Q1"/>
    <mergeCell ref="A2:Q2"/>
    <mergeCell ref="A3:Q3"/>
    <mergeCell ref="C13:D13"/>
    <mergeCell ref="E13:F13"/>
    <mergeCell ref="C12:D12"/>
    <mergeCell ref="E12:F12"/>
    <mergeCell ref="E15:F15"/>
    <mergeCell ref="C15:D15"/>
    <mergeCell ref="C14:D14"/>
    <mergeCell ref="E14:F14"/>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15"/>
  <sheetViews>
    <sheetView tabSelected="1" zoomScale="95" zoomScaleNormal="95" workbookViewId="0" topLeftCell="A1">
      <selection activeCell="A1" sqref="A1:C1"/>
    </sheetView>
  </sheetViews>
  <sheetFormatPr defaultColWidth="9.140625" defaultRowHeight="12.75"/>
  <cols>
    <col min="1" max="1" width="20.28125" style="0" customWidth="1"/>
    <col min="2" max="2" width="49.8515625" style="0" customWidth="1"/>
    <col min="3" max="3" width="20.00390625" style="0" bestFit="1" customWidth="1"/>
  </cols>
  <sheetData>
    <row r="1" spans="1:3" ht="23.25">
      <c r="A1" s="105" t="s">
        <v>210</v>
      </c>
      <c r="B1" s="106"/>
      <c r="C1" s="106"/>
    </row>
    <row r="2" spans="1:3" ht="18">
      <c r="A2" s="107" t="s">
        <v>350</v>
      </c>
      <c r="B2" s="106"/>
      <c r="C2" s="106"/>
    </row>
    <row r="3" spans="1:3" ht="18">
      <c r="A3" s="107" t="s">
        <v>226</v>
      </c>
      <c r="B3" s="106"/>
      <c r="C3" s="106"/>
    </row>
    <row r="5" spans="1:3" ht="12.75">
      <c r="A5" s="93"/>
      <c r="B5" s="90" t="s">
        <v>358</v>
      </c>
      <c r="C5" s="93"/>
    </row>
    <row r="6" spans="1:3" ht="12.75">
      <c r="A6" s="92"/>
      <c r="B6" s="91" t="s">
        <v>351</v>
      </c>
      <c r="C6" s="92"/>
    </row>
    <row r="7" spans="1:3" ht="12.75">
      <c r="A7" s="92"/>
      <c r="B7" s="91" t="s">
        <v>353</v>
      </c>
      <c r="C7" s="92"/>
    </row>
    <row r="8" spans="1:3" ht="12.75">
      <c r="A8" s="92"/>
      <c r="B8" s="91" t="s">
        <v>355</v>
      </c>
      <c r="C8" s="92"/>
    </row>
    <row r="9" spans="1:2" ht="12.75">
      <c r="A9" s="92"/>
      <c r="B9" s="92"/>
    </row>
    <row r="10" spans="1:2" ht="12.75">
      <c r="A10" s="92"/>
      <c r="B10" s="90" t="s">
        <v>357</v>
      </c>
    </row>
    <row r="11" spans="1:2" ht="12.75">
      <c r="A11" s="94"/>
      <c r="B11" s="91" t="s">
        <v>352</v>
      </c>
    </row>
    <row r="12" spans="1:2" ht="12.75">
      <c r="A12" s="93"/>
      <c r="B12" s="91" t="s">
        <v>354</v>
      </c>
    </row>
    <row r="13" spans="1:2" ht="12.75">
      <c r="A13" s="92"/>
      <c r="B13" s="91" t="s">
        <v>356</v>
      </c>
    </row>
    <row r="14" ht="12.75">
      <c r="A14" s="92"/>
    </row>
    <row r="15" ht="12.75">
      <c r="A15" s="92"/>
    </row>
  </sheetData>
  <mergeCells count="3">
    <mergeCell ref="A1:C1"/>
    <mergeCell ref="A2:C2"/>
    <mergeCell ref="A3:C3"/>
  </mergeCells>
  <printOptions/>
  <pageMargins left="0.75" right="0.75" top="1" bottom="1" header="0.5" footer="0.5"/>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AL17"/>
  <sheetViews>
    <sheetView tabSelected="1" workbookViewId="0" topLeftCell="A1">
      <selection activeCell="A1" sqref="A1:C1"/>
    </sheetView>
  </sheetViews>
  <sheetFormatPr defaultColWidth="9.140625" defaultRowHeight="12.75"/>
  <cols>
    <col min="1" max="1" width="4.7109375" style="6" customWidth="1"/>
    <col min="2" max="2" width="19.7109375" style="6" customWidth="1"/>
    <col min="3" max="4" width="4.7109375" style="6" customWidth="1"/>
    <col min="5" max="5" width="7.8515625" style="6" customWidth="1"/>
    <col min="6" max="6" width="7.8515625" style="6" bestFit="1" customWidth="1"/>
    <col min="7" max="8" width="8.7109375" style="6" customWidth="1"/>
    <col min="9" max="9" width="9.140625" style="6" customWidth="1"/>
    <col min="10" max="10" width="4.7109375" style="6" customWidth="1"/>
    <col min="11" max="11" width="18.140625" style="6" customWidth="1"/>
    <col min="12" max="12" width="2.00390625" style="6" hidden="1" customWidth="1"/>
    <col min="13" max="15" width="4.7109375" style="6" hidden="1" customWidth="1"/>
    <col min="16" max="17" width="8.7109375" style="6" hidden="1" customWidth="1"/>
    <col min="18" max="18" width="0.9921875" style="6" hidden="1" customWidth="1"/>
    <col min="19" max="28" width="3.7109375" style="6" hidden="1" customWidth="1"/>
    <col min="29" max="29" width="1.1484375" style="6" hidden="1" customWidth="1"/>
    <col min="30" max="30" width="2.421875" style="6" hidden="1" customWidth="1"/>
    <col min="31" max="31" width="3.7109375" style="6" hidden="1" customWidth="1"/>
    <col min="32" max="32" width="1.8515625" style="6" hidden="1" customWidth="1"/>
    <col min="33" max="33" width="7.8515625" style="6" hidden="1" customWidth="1"/>
    <col min="34" max="34" width="17.8515625" style="6" hidden="1" customWidth="1"/>
    <col min="35" max="35" width="0.9921875" style="6" hidden="1" customWidth="1"/>
    <col min="36" max="39" width="3.7109375" style="6" hidden="1" customWidth="1"/>
    <col min="40" max="52" width="3.7109375" style="6" customWidth="1"/>
    <col min="53" max="16384" width="9.140625" style="6" customWidth="1"/>
  </cols>
  <sheetData>
    <row r="1" spans="1:17" ht="28.5" customHeight="1">
      <c r="A1" s="112" t="s">
        <v>210</v>
      </c>
      <c r="B1" s="112"/>
      <c r="C1" s="112"/>
      <c r="D1" s="112"/>
      <c r="E1" s="112"/>
      <c r="F1" s="112"/>
      <c r="G1" s="112"/>
      <c r="H1" s="112"/>
      <c r="I1" s="112"/>
      <c r="J1" s="112"/>
      <c r="K1" s="112"/>
      <c r="L1" s="112"/>
      <c r="M1" s="112"/>
      <c r="N1" s="112"/>
      <c r="O1" s="112"/>
      <c r="P1" s="112"/>
      <c r="Q1" s="112"/>
    </row>
    <row r="2" spans="1:29" ht="28.5" customHeight="1">
      <c r="A2" s="113" t="s">
        <v>359</v>
      </c>
      <c r="B2" s="113"/>
      <c r="C2" s="113"/>
      <c r="D2" s="113"/>
      <c r="E2" s="113"/>
      <c r="F2" s="113"/>
      <c r="G2" s="113"/>
      <c r="H2" s="113"/>
      <c r="I2" s="113"/>
      <c r="J2" s="113"/>
      <c r="K2" s="113"/>
      <c r="L2" s="113"/>
      <c r="M2" s="113"/>
      <c r="N2" s="113"/>
      <c r="O2" s="113"/>
      <c r="P2" s="113"/>
      <c r="Q2" s="113"/>
      <c r="R2" s="61" t="str">
        <f>Control!A3</f>
        <v>Men's A Grade</v>
      </c>
      <c r="S2" s="61" t="str">
        <f>Control!B3</f>
        <v>Kean Challenge Shield</v>
      </c>
      <c r="T2" s="61">
        <f>Control!C3</f>
        <v>9</v>
      </c>
      <c r="U2" s="61">
        <f>Control!D3</f>
        <v>1</v>
      </c>
      <c r="V2" s="61">
        <f>Control!E3</f>
        <v>1</v>
      </c>
      <c r="W2" s="61">
        <f>Control!F3</f>
        <v>6</v>
      </c>
      <c r="X2" s="61">
        <f>Control!G3</f>
        <v>8</v>
      </c>
      <c r="Y2" s="61">
        <f>Control!H3</f>
        <v>12</v>
      </c>
      <c r="Z2" s="61">
        <f>Control!I3</f>
        <v>14</v>
      </c>
      <c r="AA2" s="61">
        <f>Control!J3</f>
        <v>18</v>
      </c>
      <c r="AB2" s="61">
        <f>Control!K3</f>
        <v>21</v>
      </c>
      <c r="AC2" s="61">
        <f>Control!L3</f>
        <v>0</v>
      </c>
    </row>
    <row r="3" spans="1:17" ht="28.5" customHeight="1">
      <c r="A3" s="113"/>
      <c r="B3" s="113"/>
      <c r="C3" s="113"/>
      <c r="D3" s="113"/>
      <c r="E3" s="113"/>
      <c r="F3" s="113"/>
      <c r="G3" s="113"/>
      <c r="H3" s="113"/>
      <c r="I3" s="113"/>
      <c r="J3" s="113"/>
      <c r="K3" s="113"/>
      <c r="L3" s="113"/>
      <c r="M3" s="113"/>
      <c r="N3" s="113"/>
      <c r="O3" s="113"/>
      <c r="P3" s="113"/>
      <c r="Q3" s="113"/>
    </row>
    <row r="4" spans="1:17" ht="28.5" customHeight="1">
      <c r="A4" s="37"/>
      <c r="B4" s="37"/>
      <c r="C4" s="37"/>
      <c r="D4" s="37"/>
      <c r="E4" s="37"/>
      <c r="F4" s="37"/>
      <c r="G4" s="37"/>
      <c r="H4" s="37"/>
      <c r="I4" s="37"/>
      <c r="J4" s="37"/>
      <c r="K4" s="37"/>
      <c r="L4" s="37"/>
      <c r="M4" s="37"/>
      <c r="N4" s="37"/>
      <c r="O4" s="37"/>
      <c r="P4" s="37"/>
      <c r="Q4" s="37"/>
    </row>
    <row r="5" spans="1:23" ht="28.5" customHeight="1">
      <c r="A5" s="38"/>
      <c r="I5" s="39"/>
      <c r="J5" s="38"/>
      <c r="V5" s="55" t="s">
        <v>2</v>
      </c>
      <c r="W5" s="55" t="s">
        <v>2</v>
      </c>
    </row>
    <row r="6" spans="2:21" ht="28.5" customHeight="1">
      <c r="B6" s="28" t="s">
        <v>4</v>
      </c>
      <c r="C6" s="28">
        <v>1</v>
      </c>
      <c r="D6" s="28">
        <v>2</v>
      </c>
      <c r="E6" s="28" t="s">
        <v>0</v>
      </c>
      <c r="F6" s="28" t="s">
        <v>1</v>
      </c>
      <c r="H6" s="68"/>
      <c r="I6" s="77"/>
      <c r="J6" s="77"/>
      <c r="K6" s="77"/>
      <c r="L6" s="77"/>
      <c r="M6" s="77"/>
      <c r="N6" s="77"/>
      <c r="O6" s="77"/>
      <c r="T6" s="55" t="s">
        <v>2</v>
      </c>
      <c r="U6" s="55">
        <f>INT(T2/2)</f>
        <v>4</v>
      </c>
    </row>
    <row r="7" spans="1:38" ht="28.5" customHeight="1">
      <c r="A7" s="28">
        <v>1</v>
      </c>
      <c r="B7" s="60" t="str">
        <f>CONCATENATE(VLOOKUP(P7,clubs,2,)," ",Q7)</f>
        <v>Auckland 1</v>
      </c>
      <c r="C7" s="41"/>
      <c r="D7" s="3" t="s">
        <v>368</v>
      </c>
      <c r="E7" s="7">
        <v>1</v>
      </c>
      <c r="F7" s="7">
        <f>IF(COUNT(E7:E7)&gt;0,IF(SUM(E$7:E$8)&gt;0,RANK(E7,E$7:E$8,0),""),"")</f>
        <v>1</v>
      </c>
      <c r="H7" s="77"/>
      <c r="I7" s="84"/>
      <c r="J7" s="79"/>
      <c r="K7" s="80"/>
      <c r="L7" s="80"/>
      <c r="M7" s="80"/>
      <c r="N7" s="82"/>
      <c r="O7" s="82"/>
      <c r="P7" s="6" t="s">
        <v>175</v>
      </c>
      <c r="Q7" s="6">
        <v>1</v>
      </c>
      <c r="R7" s="6" t="s">
        <v>175</v>
      </c>
      <c r="S7" s="6">
        <v>2</v>
      </c>
      <c r="T7" s="21">
        <f>IF(C7="","",VALUE(LEFT(C7)))</f>
      </c>
      <c r="U7" s="21">
        <f>IF(D7="","",VALUE(LEFT(D7)))</f>
        <v>1</v>
      </c>
      <c r="V7" s="21" t="e">
        <f>IF(#REF!="","",VALUE(LEFT(#REF!)))</f>
        <v>#REF!</v>
      </c>
      <c r="W7" s="21" t="e">
        <f>IF(#REF!="","",VALUE(LEFT(#REF!)))</f>
        <v>#REF!</v>
      </c>
      <c r="X7" s="21"/>
      <c r="Y7" s="21">
        <f aca="true" t="shared" si="0" ref="Y7:AB8">IF(J7="","",VALUE(LEFT(J7)))</f>
      </c>
      <c r="Z7" s="21">
        <f t="shared" si="0"/>
      </c>
      <c r="AA7" s="21">
        <f t="shared" si="0"/>
      </c>
      <c r="AB7" s="21">
        <f t="shared" si="0"/>
      </c>
      <c r="AD7" s="6">
        <f>IF(C7="","",IF(T7&gt;$U$6,1,""))</f>
      </c>
      <c r="AE7" s="55">
        <f>IF(D7="","",IF(U7&gt;$U$6,1,""))</f>
      </c>
      <c r="AF7" s="55" t="e">
        <f>IF(#REF!="","",IF(V7&gt;$U$6,1,""))</f>
        <v>#REF!</v>
      </c>
      <c r="AG7" s="55" t="e">
        <f>IF(#REF!="","",IF(W7&gt;$U$6,1,""))</f>
        <v>#REF!</v>
      </c>
      <c r="AH7" s="55"/>
      <c r="AI7" s="55">
        <f aca="true" t="shared" si="1" ref="AI7:AL8">IF(J7="","",IF(Y7&gt;$U$6,1,""))</f>
      </c>
      <c r="AJ7" s="55">
        <f t="shared" si="1"/>
      </c>
      <c r="AK7" s="55">
        <f t="shared" si="1"/>
      </c>
      <c r="AL7" s="55">
        <f t="shared" si="1"/>
      </c>
    </row>
    <row r="8" spans="1:38" ht="28.5" customHeight="1">
      <c r="A8" s="28">
        <v>2</v>
      </c>
      <c r="B8" s="42" t="str">
        <f>CONCATENATE(VLOOKUP(P8,clubs,2,)," ",Q8)</f>
        <v>North Harbour 1</v>
      </c>
      <c r="C8" s="16" t="s">
        <v>371</v>
      </c>
      <c r="D8" s="20"/>
      <c r="E8" s="7">
        <v>0</v>
      </c>
      <c r="F8" s="7">
        <f>IF(COUNT(E8:E8)&gt;0,IF(SUM(E$7:E$8)&gt;0,RANK(E8,E$7:E$8,0),""),"")</f>
        <v>2</v>
      </c>
      <c r="H8" s="77"/>
      <c r="I8" s="85"/>
      <c r="J8" s="79"/>
      <c r="K8" s="79"/>
      <c r="L8" s="80"/>
      <c r="M8" s="80"/>
      <c r="N8" s="82"/>
      <c r="O8" s="82"/>
      <c r="P8" s="6" t="s">
        <v>178</v>
      </c>
      <c r="Q8" s="6">
        <v>1</v>
      </c>
      <c r="R8" s="6" t="s">
        <v>178</v>
      </c>
      <c r="S8" s="6">
        <v>1</v>
      </c>
      <c r="T8" s="21">
        <f>IF(C8="","",VALUE(LEFT(C8)))</f>
        <v>1</v>
      </c>
      <c r="U8" s="21">
        <f>IF(D8="","",VALUE(LEFT(D8)))</f>
      </c>
      <c r="V8" s="21" t="e">
        <f>IF(#REF!="","",VALUE(LEFT(#REF!)))</f>
        <v>#REF!</v>
      </c>
      <c r="W8" s="21" t="e">
        <f>IF(#REF!="","",VALUE(LEFT(#REF!)))</f>
        <v>#REF!</v>
      </c>
      <c r="X8" s="21"/>
      <c r="Y8" s="21">
        <f t="shared" si="0"/>
      </c>
      <c r="Z8" s="21">
        <f t="shared" si="0"/>
      </c>
      <c r="AA8" s="21">
        <f t="shared" si="0"/>
      </c>
      <c r="AB8" s="21">
        <f t="shared" si="0"/>
      </c>
      <c r="AD8" s="6">
        <f>IF(C8="","",IF(T8&gt;$U$6,1,""))</f>
      </c>
      <c r="AE8" s="55">
        <f>IF(D8="","",IF(U8&gt;$U$6,1,""))</f>
      </c>
      <c r="AF8" s="55" t="e">
        <f>IF(#REF!="","",IF(V8&gt;$U$6,1,""))</f>
        <v>#REF!</v>
      </c>
      <c r="AG8" s="55" t="e">
        <f>IF(#REF!="","",IF(W8&gt;$U$6,1,""))</f>
        <v>#REF!</v>
      </c>
      <c r="AH8" s="55"/>
      <c r="AI8" s="55">
        <f t="shared" si="1"/>
      </c>
      <c r="AJ8" s="55">
        <f t="shared" si="1"/>
      </c>
      <c r="AK8" s="55">
        <f t="shared" si="1"/>
      </c>
      <c r="AL8" s="55">
        <f t="shared" si="1"/>
      </c>
    </row>
    <row r="9" spans="18:21" ht="28.5" customHeight="1">
      <c r="R9" s="6" t="s">
        <v>182</v>
      </c>
      <c r="S9" s="6" t="s">
        <v>201</v>
      </c>
      <c r="T9" s="6" t="s">
        <v>182</v>
      </c>
      <c r="U9" s="6" t="s">
        <v>201</v>
      </c>
    </row>
    <row r="10" spans="2:23" ht="28.5" customHeight="1">
      <c r="B10" s="28" t="s">
        <v>9</v>
      </c>
      <c r="C10" s="114" t="s">
        <v>320</v>
      </c>
      <c r="D10" s="116"/>
      <c r="E10" s="119"/>
      <c r="F10" s="120"/>
      <c r="G10" s="44"/>
      <c r="H10" s="44"/>
      <c r="R10" s="6">
        <f>U2</f>
        <v>1</v>
      </c>
      <c r="T10" s="6">
        <f>R10+1</f>
        <v>2</v>
      </c>
      <c r="V10" s="6">
        <f>T10+1</f>
        <v>3</v>
      </c>
      <c r="W10" s="6">
        <f>V10+1</f>
        <v>4</v>
      </c>
    </row>
    <row r="11" spans="2:20" ht="28.5" customHeight="1">
      <c r="B11" s="28" t="s">
        <v>212</v>
      </c>
      <c r="C11" s="108" t="s">
        <v>43</v>
      </c>
      <c r="D11" s="109"/>
      <c r="E11" s="117"/>
      <c r="F11" s="118"/>
      <c r="G11" s="86"/>
      <c r="H11" s="86"/>
      <c r="K11" s="69"/>
      <c r="S11" s="6">
        <f>W2</f>
        <v>6</v>
      </c>
      <c r="T11" s="6" t="s">
        <v>2</v>
      </c>
    </row>
    <row r="12" spans="2:19" ht="28.5" customHeight="1">
      <c r="B12" s="44"/>
      <c r="C12" s="45"/>
      <c r="D12" s="45"/>
      <c r="E12" s="45"/>
      <c r="F12" s="45"/>
      <c r="K12" s="44"/>
      <c r="L12" s="45"/>
      <c r="M12" s="45"/>
      <c r="N12" s="45"/>
      <c r="O12" s="45"/>
      <c r="S12" s="6" t="s">
        <v>2</v>
      </c>
    </row>
    <row r="13" ht="28.5" customHeight="1"/>
    <row r="14" ht="12.75">
      <c r="B14" s="31" t="s">
        <v>30</v>
      </c>
    </row>
    <row r="16" ht="12.75">
      <c r="B16" s="6" t="s">
        <v>34</v>
      </c>
    </row>
    <row r="17" ht="12.75">
      <c r="B17" s="6" t="s">
        <v>360</v>
      </c>
    </row>
  </sheetData>
  <sheetProtection/>
  <mergeCells count="7">
    <mergeCell ref="A1:Q1"/>
    <mergeCell ref="A2:Q2"/>
    <mergeCell ref="A3:Q3"/>
    <mergeCell ref="C11:D11"/>
    <mergeCell ref="E11:F11"/>
    <mergeCell ref="C10:D10"/>
    <mergeCell ref="E10:F10"/>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C45"/>
  <sheetViews>
    <sheetView tabSelected="1" zoomScale="95" zoomScaleNormal="95" workbookViewId="0" topLeftCell="A1">
      <selection activeCell="A1" sqref="A1:C1"/>
    </sheetView>
  </sheetViews>
  <sheetFormatPr defaultColWidth="9.140625" defaultRowHeight="12.75"/>
  <cols>
    <col min="1" max="1" width="20.28125" style="0" customWidth="1"/>
    <col min="2" max="2" width="49.8515625" style="0" customWidth="1"/>
    <col min="3" max="3" width="20.00390625" style="0" bestFit="1" customWidth="1"/>
  </cols>
  <sheetData>
    <row r="1" spans="1:3" ht="23.25">
      <c r="A1" s="105" t="s">
        <v>210</v>
      </c>
      <c r="B1" s="106"/>
      <c r="C1" s="106"/>
    </row>
    <row r="2" spans="1:3" ht="18">
      <c r="A2" s="107" t="s">
        <v>277</v>
      </c>
      <c r="B2" s="106"/>
      <c r="C2" s="106"/>
    </row>
    <row r="3" spans="1:3" ht="18">
      <c r="A3" s="107" t="s">
        <v>226</v>
      </c>
      <c r="B3" s="106"/>
      <c r="C3" s="106"/>
    </row>
    <row r="5" spans="1:3" ht="12.75">
      <c r="A5" s="93"/>
      <c r="B5" s="90" t="s">
        <v>338</v>
      </c>
      <c r="C5" s="93"/>
    </row>
    <row r="6" spans="1:3" ht="12.75">
      <c r="A6" s="92"/>
      <c r="B6" s="91" t="s">
        <v>278</v>
      </c>
      <c r="C6" s="92"/>
    </row>
    <row r="7" spans="1:3" ht="12.75">
      <c r="A7" s="92"/>
      <c r="B7" s="91" t="s">
        <v>286</v>
      </c>
      <c r="C7" s="92"/>
    </row>
    <row r="8" spans="1:3" ht="12.75">
      <c r="A8" s="92"/>
      <c r="B8" s="91" t="s">
        <v>292</v>
      </c>
      <c r="C8" s="92"/>
    </row>
    <row r="9" spans="1:3" ht="12.75">
      <c r="A9" s="92"/>
      <c r="B9" s="92"/>
      <c r="C9" s="92"/>
    </row>
    <row r="10" spans="1:3" ht="12.75">
      <c r="A10" s="93"/>
      <c r="B10" s="90" t="s">
        <v>339</v>
      </c>
      <c r="C10" s="92"/>
    </row>
    <row r="11" spans="1:2" ht="12.75">
      <c r="A11" s="92"/>
      <c r="B11" s="91" t="s">
        <v>279</v>
      </c>
    </row>
    <row r="12" spans="1:2" ht="12.75">
      <c r="A12" s="92"/>
      <c r="B12" s="91" t="s">
        <v>287</v>
      </c>
    </row>
    <row r="13" spans="1:2" ht="12.75">
      <c r="A13" s="92"/>
      <c r="B13" s="91" t="s">
        <v>293</v>
      </c>
    </row>
    <row r="14" ht="12.75">
      <c r="A14" s="94"/>
    </row>
    <row r="15" spans="1:2" ht="12.75">
      <c r="A15" s="93"/>
      <c r="B15" s="90" t="s">
        <v>340</v>
      </c>
    </row>
    <row r="16" spans="1:2" ht="12.75">
      <c r="A16" s="92"/>
      <c r="B16" s="91" t="s">
        <v>280</v>
      </c>
    </row>
    <row r="17" spans="1:2" ht="12.75">
      <c r="A17" s="92"/>
      <c r="B17" s="91" t="s">
        <v>288</v>
      </c>
    </row>
    <row r="18" spans="1:2" ht="12.75">
      <c r="A18" s="92"/>
      <c r="B18" s="91" t="s">
        <v>294</v>
      </c>
    </row>
    <row r="19" ht="12.75">
      <c r="A19" s="94"/>
    </row>
    <row r="20" spans="1:2" ht="12.75">
      <c r="A20" s="93"/>
      <c r="B20" s="90" t="s">
        <v>341</v>
      </c>
    </row>
    <row r="21" spans="1:2" ht="12.75">
      <c r="A21" s="92"/>
      <c r="B21" s="91" t="s">
        <v>283</v>
      </c>
    </row>
    <row r="22" spans="1:2" ht="12.75">
      <c r="A22" s="92"/>
      <c r="B22" s="91" t="s">
        <v>290</v>
      </c>
    </row>
    <row r="23" spans="1:2" ht="12.75">
      <c r="A23" s="92"/>
      <c r="B23" s="91" t="s">
        <v>296</v>
      </c>
    </row>
    <row r="24" spans="1:2" ht="12.75">
      <c r="A24" s="92"/>
      <c r="B24" s="91" t="s">
        <v>298</v>
      </c>
    </row>
    <row r="25" ht="12.75">
      <c r="A25" s="94"/>
    </row>
    <row r="26" spans="1:2" ht="12.75">
      <c r="A26" s="93"/>
      <c r="B26" s="90" t="s">
        <v>342</v>
      </c>
    </row>
    <row r="27" spans="1:2" ht="12.75">
      <c r="A27" s="92"/>
      <c r="B27" s="91" t="s">
        <v>284</v>
      </c>
    </row>
    <row r="28" spans="1:2" ht="12.75">
      <c r="A28" s="92"/>
      <c r="B28" s="91" t="s">
        <v>381</v>
      </c>
    </row>
    <row r="29" spans="1:2" ht="12.75">
      <c r="A29" s="92"/>
      <c r="B29" s="91" t="s">
        <v>382</v>
      </c>
    </row>
    <row r="30" spans="1:2" ht="12.75">
      <c r="A30" s="92"/>
      <c r="B30" s="91" t="s">
        <v>247</v>
      </c>
    </row>
    <row r="31" spans="1:2" ht="12.75">
      <c r="A31" s="92"/>
      <c r="B31" s="92"/>
    </row>
    <row r="32" spans="1:2" ht="12.75">
      <c r="A32" s="93"/>
      <c r="B32" s="90" t="s">
        <v>343</v>
      </c>
    </row>
    <row r="33" spans="1:2" ht="12.75">
      <c r="A33" s="92"/>
      <c r="B33" s="91" t="s">
        <v>285</v>
      </c>
    </row>
    <row r="34" spans="1:2" ht="12.75">
      <c r="A34" s="92"/>
      <c r="B34" s="91" t="s">
        <v>291</v>
      </c>
    </row>
    <row r="35" spans="1:2" ht="12.75">
      <c r="A35" s="92"/>
      <c r="B35" s="91" t="s">
        <v>297</v>
      </c>
    </row>
    <row r="36" ht="12.75">
      <c r="A36" s="94"/>
    </row>
    <row r="37" spans="1:2" ht="12.75">
      <c r="A37" s="93"/>
      <c r="B37" s="90" t="s">
        <v>344</v>
      </c>
    </row>
    <row r="38" spans="1:2" ht="12.75">
      <c r="A38" s="92"/>
      <c r="B38" s="91" t="s">
        <v>281</v>
      </c>
    </row>
    <row r="39" spans="1:2" ht="12.75">
      <c r="A39" s="92"/>
      <c r="B39" s="91" t="s">
        <v>289</v>
      </c>
    </row>
    <row r="40" spans="1:2" ht="12.75">
      <c r="A40" s="92"/>
      <c r="B40" s="91" t="s">
        <v>295</v>
      </c>
    </row>
    <row r="41" ht="12.75">
      <c r="A41" s="94"/>
    </row>
    <row r="42" spans="1:2" ht="12.75">
      <c r="A42" s="93"/>
      <c r="B42" s="90" t="s">
        <v>345</v>
      </c>
    </row>
    <row r="43" spans="1:2" ht="12.75">
      <c r="A43" s="92"/>
      <c r="B43" s="91" t="s">
        <v>282</v>
      </c>
    </row>
    <row r="44" spans="1:2" ht="12.75">
      <c r="A44" s="92"/>
      <c r="B44" s="91" t="s">
        <v>361</v>
      </c>
    </row>
    <row r="45" spans="1:2" ht="12.75">
      <c r="A45" s="92"/>
      <c r="B45" s="91" t="s">
        <v>362</v>
      </c>
    </row>
  </sheetData>
  <mergeCells count="3">
    <mergeCell ref="A1:C1"/>
    <mergeCell ref="A2:C2"/>
    <mergeCell ref="A3:C3"/>
  </mergeCells>
  <printOptions/>
  <pageMargins left="0.75" right="0.75" top="1" bottom="1" header="0.5" footer="0.5"/>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AN33"/>
  <sheetViews>
    <sheetView tabSelected="1" workbookViewId="0" topLeftCell="A1">
      <selection activeCell="A1" sqref="A1:C1"/>
    </sheetView>
  </sheetViews>
  <sheetFormatPr defaultColWidth="9.140625" defaultRowHeight="12.75"/>
  <cols>
    <col min="1" max="1" width="4.7109375" style="6" customWidth="1"/>
    <col min="2" max="2" width="18.7109375" style="6" customWidth="1"/>
    <col min="3" max="3" width="6.140625" style="6" customWidth="1"/>
    <col min="4" max="4" width="6.00390625" style="6" customWidth="1"/>
    <col min="5" max="5" width="5.421875" style="6" bestFit="1" customWidth="1"/>
    <col min="6" max="6" width="3.57421875" style="6" bestFit="1" customWidth="1"/>
    <col min="7" max="8" width="8.7109375" style="6" customWidth="1"/>
    <col min="9" max="9" width="9.140625" style="6" customWidth="1"/>
    <col min="10" max="10" width="4.7109375" style="6" customWidth="1"/>
    <col min="11" max="11" width="19.140625" style="6" customWidth="1"/>
    <col min="12" max="12" width="6.00390625" style="6" customWidth="1"/>
    <col min="13" max="15" width="4.7109375" style="6" customWidth="1"/>
    <col min="16" max="17" width="8.7109375" style="6" customWidth="1"/>
    <col min="18" max="18" width="4.7109375" style="6" hidden="1" customWidth="1"/>
    <col min="19" max="19" width="3.00390625" style="6" hidden="1" customWidth="1"/>
    <col min="20" max="20" width="2.8515625" style="6" hidden="1" customWidth="1"/>
    <col min="21" max="21" width="2.57421875" style="6" hidden="1" customWidth="1"/>
    <col min="22" max="22" width="3.140625" style="6" hidden="1" customWidth="1"/>
    <col min="23" max="23" width="4.57421875" style="6" hidden="1" customWidth="1"/>
    <col min="24" max="24" width="3.140625" style="6" hidden="1" customWidth="1"/>
    <col min="25" max="25" width="2.8515625" style="6" hidden="1" customWidth="1"/>
    <col min="26" max="26" width="2.421875" style="6" hidden="1" customWidth="1"/>
    <col min="27" max="27" width="3.00390625" style="6" hidden="1" customWidth="1"/>
    <col min="28" max="28" width="4.57421875" style="6" hidden="1" customWidth="1"/>
    <col min="29" max="29" width="3.421875" style="6" hidden="1" customWidth="1"/>
    <col min="30" max="40" width="3.7109375" style="6" hidden="1" customWidth="1"/>
    <col min="41" max="52" width="3.7109375" style="6" customWidth="1"/>
    <col min="53" max="16384" width="9.140625" style="6" customWidth="1"/>
  </cols>
  <sheetData>
    <row r="1" spans="1:17" ht="28.5" customHeight="1">
      <c r="A1" s="112" t="s">
        <v>210</v>
      </c>
      <c r="B1" s="112"/>
      <c r="C1" s="112"/>
      <c r="D1" s="112"/>
      <c r="E1" s="112"/>
      <c r="F1" s="112"/>
      <c r="G1" s="112"/>
      <c r="H1" s="112"/>
      <c r="I1" s="112"/>
      <c r="J1" s="112"/>
      <c r="K1" s="112"/>
      <c r="L1" s="112"/>
      <c r="M1" s="112"/>
      <c r="N1" s="112"/>
      <c r="O1" s="112"/>
      <c r="P1" s="112"/>
      <c r="Q1" s="112"/>
    </row>
    <row r="2" spans="1:29" ht="28.5" customHeight="1">
      <c r="A2" s="113" t="s">
        <v>211</v>
      </c>
      <c r="B2" s="113"/>
      <c r="C2" s="113"/>
      <c r="D2" s="113"/>
      <c r="E2" s="113"/>
      <c r="F2" s="113"/>
      <c r="G2" s="113"/>
      <c r="H2" s="113"/>
      <c r="I2" s="113"/>
      <c r="J2" s="113"/>
      <c r="K2" s="113"/>
      <c r="L2" s="113"/>
      <c r="M2" s="113"/>
      <c r="N2" s="113"/>
      <c r="O2" s="113"/>
      <c r="P2" s="113"/>
      <c r="Q2" s="113"/>
      <c r="R2" s="61" t="str">
        <f>Control!A3</f>
        <v>Men's A Grade</v>
      </c>
      <c r="S2" s="61" t="str">
        <f>Control!B3</f>
        <v>Kean Challenge Shield</v>
      </c>
      <c r="T2" s="61">
        <f>Control!C3</f>
        <v>9</v>
      </c>
      <c r="U2" s="61">
        <f>Control!D3</f>
        <v>1</v>
      </c>
      <c r="V2" s="61">
        <f>Control!E3</f>
        <v>1</v>
      </c>
      <c r="W2" s="61">
        <f>Control!F3</f>
        <v>6</v>
      </c>
      <c r="X2" s="61">
        <f>Control!G3</f>
        <v>8</v>
      </c>
      <c r="Y2" s="61">
        <f>Control!H3</f>
        <v>12</v>
      </c>
      <c r="Z2" s="61">
        <f>Control!I3</f>
        <v>14</v>
      </c>
      <c r="AA2" s="61">
        <f>Control!J3</f>
        <v>18</v>
      </c>
      <c r="AB2" s="61">
        <f>Control!K3</f>
        <v>21</v>
      </c>
      <c r="AC2" s="61">
        <f>Control!L3</f>
        <v>0</v>
      </c>
    </row>
    <row r="3" spans="1:17" ht="28.5" customHeight="1">
      <c r="A3" s="113"/>
      <c r="B3" s="113"/>
      <c r="C3" s="113"/>
      <c r="D3" s="113"/>
      <c r="E3" s="113"/>
      <c r="F3" s="113"/>
      <c r="G3" s="113"/>
      <c r="H3" s="113"/>
      <c r="I3" s="113"/>
      <c r="J3" s="113"/>
      <c r="K3" s="113"/>
      <c r="L3" s="113"/>
      <c r="M3" s="113"/>
      <c r="N3" s="113"/>
      <c r="O3" s="113"/>
      <c r="P3" s="113"/>
      <c r="Q3" s="113"/>
    </row>
    <row r="4" spans="1:17" ht="28.5" customHeight="1">
      <c r="A4" s="37"/>
      <c r="B4" s="37"/>
      <c r="C4" s="37"/>
      <c r="D4" s="37"/>
      <c r="E4" s="37"/>
      <c r="F4" s="37"/>
      <c r="G4" s="37"/>
      <c r="H4" s="37"/>
      <c r="I4" s="37"/>
      <c r="J4" s="37"/>
      <c r="K4" s="37"/>
      <c r="L4" s="37"/>
      <c r="M4" s="37"/>
      <c r="N4" s="37"/>
      <c r="O4" s="37"/>
      <c r="P4" s="37"/>
      <c r="Q4" s="37"/>
    </row>
    <row r="5" spans="1:23" ht="28.5" customHeight="1">
      <c r="A5" s="38" t="s">
        <v>55</v>
      </c>
      <c r="I5" s="39" t="s">
        <v>26</v>
      </c>
      <c r="J5" s="38" t="s">
        <v>66</v>
      </c>
      <c r="V5" s="55" t="s">
        <v>2</v>
      </c>
      <c r="W5" s="55" t="s">
        <v>2</v>
      </c>
    </row>
    <row r="6" spans="2:23" ht="28.5" customHeight="1">
      <c r="B6" s="28" t="s">
        <v>4</v>
      </c>
      <c r="C6" s="28">
        <v>1</v>
      </c>
      <c r="D6" s="28">
        <v>2</v>
      </c>
      <c r="E6" s="28">
        <v>3</v>
      </c>
      <c r="F6" s="28">
        <v>4</v>
      </c>
      <c r="G6" s="28" t="s">
        <v>0</v>
      </c>
      <c r="H6" s="28" t="s">
        <v>1</v>
      </c>
      <c r="K6" s="28" t="s">
        <v>5</v>
      </c>
      <c r="L6" s="28">
        <v>1</v>
      </c>
      <c r="M6" s="28">
        <v>2</v>
      </c>
      <c r="N6" s="28">
        <v>3</v>
      </c>
      <c r="O6" s="28">
        <v>4</v>
      </c>
      <c r="P6" s="28" t="s">
        <v>0</v>
      </c>
      <c r="Q6" s="28" t="s">
        <v>1</v>
      </c>
      <c r="V6" s="55" t="s">
        <v>2</v>
      </c>
      <c r="W6" s="55">
        <f>INT(T2/2)</f>
        <v>4</v>
      </c>
    </row>
    <row r="7" spans="1:40" ht="28.5" customHeight="1">
      <c r="A7" s="28">
        <v>1</v>
      </c>
      <c r="B7" s="60" t="str">
        <f>CONCATENATE(VLOOKUP(R7,clubs,2,)," ",S7)</f>
        <v>Auckland 1</v>
      </c>
      <c r="C7" s="41"/>
      <c r="D7" s="3" t="s">
        <v>365</v>
      </c>
      <c r="E7" s="3" t="s">
        <v>365</v>
      </c>
      <c r="F7" s="3" t="s">
        <v>365</v>
      </c>
      <c r="G7" s="7">
        <f>IF(COUNT(V7:Y7)&gt;0,SUM(AF7:AI7),"")</f>
        <v>3</v>
      </c>
      <c r="H7" s="7">
        <f>IF(COUNT(G7:G7)&gt;0,IF(SUM(G$7:G$10)&gt;0,RANK(G7,G$7:G$10,0),""),"")</f>
        <v>1</v>
      </c>
      <c r="J7" s="28">
        <v>1</v>
      </c>
      <c r="K7" s="60" t="str">
        <f>CONCATENATE(VLOOKUP(T7,clubs,2,)," ",U7)</f>
        <v>Auckland 2</v>
      </c>
      <c r="L7" s="20"/>
      <c r="M7" s="3" t="s">
        <v>365</v>
      </c>
      <c r="N7" s="3" t="s">
        <v>365</v>
      </c>
      <c r="O7" s="3" t="s">
        <v>365</v>
      </c>
      <c r="P7" s="7">
        <f>IF(COUNT(AA7:AD7)&gt;0,SUM(AK7:AN7),"")</f>
        <v>3</v>
      </c>
      <c r="Q7" s="7">
        <f>IF(COUNT(P7:P7)&gt;0,IF(SUM(P$7:P$10)&gt;0,RANK(P7,P$7:P$10,0),""),"")</f>
        <v>1</v>
      </c>
      <c r="R7" s="6" t="s">
        <v>175</v>
      </c>
      <c r="S7" s="6">
        <v>1</v>
      </c>
      <c r="T7" s="6" t="s">
        <v>175</v>
      </c>
      <c r="U7" s="6">
        <v>2</v>
      </c>
      <c r="V7" s="21">
        <f aca="true" t="shared" si="0" ref="V7:Y10">IF(C7="","",VALUE(LEFT(C7)))</f>
      </c>
      <c r="W7" s="21">
        <f t="shared" si="0"/>
        <v>5</v>
      </c>
      <c r="X7" s="21">
        <f t="shared" si="0"/>
        <v>5</v>
      </c>
      <c r="Y7" s="21">
        <f t="shared" si="0"/>
        <v>5</v>
      </c>
      <c r="Z7" s="21"/>
      <c r="AA7" s="21">
        <f aca="true" t="shared" si="1" ref="AA7:AD10">IF(L7="","",VALUE(LEFT(L7)))</f>
      </c>
      <c r="AB7" s="21">
        <f t="shared" si="1"/>
        <v>5</v>
      </c>
      <c r="AC7" s="21">
        <f t="shared" si="1"/>
        <v>5</v>
      </c>
      <c r="AD7" s="21">
        <f t="shared" si="1"/>
        <v>5</v>
      </c>
      <c r="AF7" s="6">
        <f aca="true" t="shared" si="2" ref="AF7:AI10">IF(C7="","",IF(V7&gt;$W$6,1,""))</f>
      </c>
      <c r="AG7" s="55">
        <f t="shared" si="2"/>
        <v>1</v>
      </c>
      <c r="AH7" s="55">
        <f t="shared" si="2"/>
        <v>1</v>
      </c>
      <c r="AI7" s="55">
        <f t="shared" si="2"/>
        <v>1</v>
      </c>
      <c r="AJ7" s="55"/>
      <c r="AK7" s="55">
        <f aca="true" t="shared" si="3" ref="AK7:AN10">IF(L7="","",IF(AA7&gt;$W$6,1,""))</f>
      </c>
      <c r="AL7" s="55">
        <f t="shared" si="3"/>
        <v>1</v>
      </c>
      <c r="AM7" s="55">
        <f t="shared" si="3"/>
        <v>1</v>
      </c>
      <c r="AN7" s="55">
        <f t="shared" si="3"/>
        <v>1</v>
      </c>
    </row>
    <row r="8" spans="1:40" ht="28.5" customHeight="1">
      <c r="A8" s="28">
        <v>2</v>
      </c>
      <c r="B8" s="42" t="str">
        <f>CONCATENATE(VLOOKUP(R8,clubs,2,)," ",S8)</f>
        <v>Counties Manukau 1</v>
      </c>
      <c r="C8" s="16" t="str">
        <f>IF(ISBLANK(D7),"",CONCATENATE(RIGHT(D7),"-",LEFT(D7)))</f>
        <v>0-5</v>
      </c>
      <c r="D8" s="20"/>
      <c r="E8" s="3" t="s">
        <v>367</v>
      </c>
      <c r="F8" s="3" t="s">
        <v>365</v>
      </c>
      <c r="G8" s="7">
        <v>2</v>
      </c>
      <c r="H8" s="7">
        <f>IF(COUNT(G8:G8)&gt;0,IF(SUM(G$7:G$10)&gt;0,RANK(G8,G$7:G$10,0),""),"")</f>
        <v>2</v>
      </c>
      <c r="J8" s="28">
        <v>2</v>
      </c>
      <c r="K8" s="42" t="str">
        <f>CONCATENATE(VLOOKUP(T8,clubs,2,)," ",U8)</f>
        <v>North Harbour 1</v>
      </c>
      <c r="L8" s="16" t="str">
        <f>IF(ISBLANK(M7),"",CONCATENATE(RIGHT(M7),"-",LEFT(M7)))</f>
        <v>0-5</v>
      </c>
      <c r="M8" s="20"/>
      <c r="N8" s="3" t="s">
        <v>366</v>
      </c>
      <c r="O8" s="3" t="s">
        <v>365</v>
      </c>
      <c r="P8" s="7">
        <v>2</v>
      </c>
      <c r="Q8" s="7">
        <f>IF(COUNT(P8:P8)&gt;0,IF(SUM(P$7:P$10)&gt;0,RANK(P8,P$7:P$10,0),""),"")</f>
        <v>2</v>
      </c>
      <c r="R8" s="6" t="s">
        <v>187</v>
      </c>
      <c r="S8" s="6">
        <v>1</v>
      </c>
      <c r="T8" s="6" t="s">
        <v>178</v>
      </c>
      <c r="U8" s="6">
        <v>1</v>
      </c>
      <c r="V8" s="21">
        <f t="shared" si="0"/>
        <v>0</v>
      </c>
      <c r="W8" s="21">
        <f t="shared" si="0"/>
      </c>
      <c r="X8" s="21">
        <f t="shared" si="0"/>
        <v>3</v>
      </c>
      <c r="Y8" s="21">
        <f t="shared" si="0"/>
        <v>5</v>
      </c>
      <c r="Z8" s="21"/>
      <c r="AA8" s="21">
        <f t="shared" si="1"/>
        <v>0</v>
      </c>
      <c r="AB8" s="21">
        <f t="shared" si="1"/>
      </c>
      <c r="AC8" s="21">
        <f t="shared" si="1"/>
        <v>4</v>
      </c>
      <c r="AD8" s="21">
        <f t="shared" si="1"/>
        <v>5</v>
      </c>
      <c r="AF8" s="6">
        <f t="shared" si="2"/>
      </c>
      <c r="AG8" s="55">
        <f t="shared" si="2"/>
      </c>
      <c r="AH8" s="55">
        <f t="shared" si="2"/>
      </c>
      <c r="AI8" s="55">
        <f t="shared" si="2"/>
        <v>1</v>
      </c>
      <c r="AJ8" s="55"/>
      <c r="AK8" s="55">
        <f t="shared" si="3"/>
      </c>
      <c r="AL8" s="55">
        <f t="shared" si="3"/>
      </c>
      <c r="AM8" s="55">
        <f t="shared" si="3"/>
      </c>
      <c r="AN8" s="55">
        <f t="shared" si="3"/>
        <v>1</v>
      </c>
    </row>
    <row r="9" spans="1:40" ht="28.5" customHeight="1">
      <c r="A9" s="28">
        <v>3</v>
      </c>
      <c r="B9" s="42" t="str">
        <f>CONCATENATE(VLOOKUP(R9,clubs,2,)," ",S9)</f>
        <v>Auckland 3</v>
      </c>
      <c r="C9" s="16" t="str">
        <f>IF(ISBLANK(E7),"",CONCATENATE(RIGHT(E7),"-",LEFT(E7)))</f>
        <v>0-5</v>
      </c>
      <c r="D9" s="16" t="str">
        <f>IF(ISBLANK(E8),"",CONCATENATE(RIGHT(E8),"-",LEFT(E8)))</f>
        <v>2-3</v>
      </c>
      <c r="E9" s="20"/>
      <c r="F9" s="3" t="s">
        <v>365</v>
      </c>
      <c r="G9" s="7">
        <f>IF(COUNT(V9:Y9)&gt;0,SUM(AF9:AI9),"")</f>
        <v>1</v>
      </c>
      <c r="H9" s="7">
        <f>IF(COUNT(G9:G9)&gt;0,IF(SUM(G$7:G$10)&gt;0,RANK(G9,G$7:G$10,0),""),"")</f>
        <v>3</v>
      </c>
      <c r="J9" s="28">
        <v>3</v>
      </c>
      <c r="K9" s="60" t="str">
        <f>CONCATENATE(VLOOKUP(T9,clubs,2,)," ",U9)</f>
        <v>Waitemata 1</v>
      </c>
      <c r="L9" s="16" t="str">
        <f>IF(ISBLANK(N7),"",CONCATENATE(RIGHT(N7),"-",LEFT(N7)))</f>
        <v>0-5</v>
      </c>
      <c r="M9" s="16" t="str">
        <f>IF(ISBLANK(N8),"",CONCATENATE(RIGHT(N8),"-",LEFT(N8)))</f>
        <v>1-4</v>
      </c>
      <c r="N9" s="20"/>
      <c r="O9" s="3" t="s">
        <v>365</v>
      </c>
      <c r="P9" s="7">
        <f>IF(COUNT(AA9:AD9)&gt;0,SUM(AK9:AN9),"")</f>
        <v>1</v>
      </c>
      <c r="Q9" s="7">
        <f>IF(COUNT(P9:P9)&gt;0,IF(SUM(P$7:P$10)&gt;0,RANK(P9,P$7:P$10,0),""),"")</f>
        <v>3</v>
      </c>
      <c r="R9" s="6" t="s">
        <v>175</v>
      </c>
      <c r="S9" s="6">
        <v>3</v>
      </c>
      <c r="T9" s="6" t="s">
        <v>184</v>
      </c>
      <c r="U9" s="6">
        <v>1</v>
      </c>
      <c r="V9" s="21">
        <f t="shared" si="0"/>
        <v>0</v>
      </c>
      <c r="W9" s="21">
        <f t="shared" si="0"/>
        <v>2</v>
      </c>
      <c r="X9" s="21">
        <f t="shared" si="0"/>
      </c>
      <c r="Y9" s="21">
        <f t="shared" si="0"/>
        <v>5</v>
      </c>
      <c r="Z9" s="21"/>
      <c r="AA9" s="21">
        <f t="shared" si="1"/>
        <v>0</v>
      </c>
      <c r="AB9" s="21">
        <f t="shared" si="1"/>
        <v>1</v>
      </c>
      <c r="AC9" s="21">
        <f t="shared" si="1"/>
      </c>
      <c r="AD9" s="21">
        <f t="shared" si="1"/>
        <v>5</v>
      </c>
      <c r="AF9" s="6">
        <f t="shared" si="2"/>
      </c>
      <c r="AG9" s="55">
        <f t="shared" si="2"/>
      </c>
      <c r="AH9" s="55">
        <f t="shared" si="2"/>
      </c>
      <c r="AI9" s="55">
        <f t="shared" si="2"/>
        <v>1</v>
      </c>
      <c r="AJ9" s="55"/>
      <c r="AK9" s="55">
        <f t="shared" si="3"/>
      </c>
      <c r="AL9" s="55">
        <f t="shared" si="3"/>
      </c>
      <c r="AM9" s="55">
        <f t="shared" si="3"/>
      </c>
      <c r="AN9" s="55">
        <f t="shared" si="3"/>
        <v>1</v>
      </c>
    </row>
    <row r="10" spans="1:40" ht="28.5" customHeight="1">
      <c r="A10" s="28">
        <v>4</v>
      </c>
      <c r="B10" s="42" t="str">
        <f>CONCATENATE(VLOOKUP(R10,clubs,2,)," ",S10)</f>
        <v>Waitemata 2</v>
      </c>
      <c r="C10" s="16" t="str">
        <f>IF(ISBLANK(F7),"",CONCATENATE(RIGHT(F7),"-",LEFT(F7)))</f>
        <v>0-5</v>
      </c>
      <c r="D10" s="16" t="str">
        <f>IF(ISBLANK(F8),"",CONCATENATE(RIGHT(F8),"-",LEFT(F8)))</f>
        <v>0-5</v>
      </c>
      <c r="E10" s="16" t="str">
        <f>IF(ISBLANK(F9),"",CONCATENATE(RIGHT(F9),"-",LEFT(F9)))</f>
        <v>0-5</v>
      </c>
      <c r="F10" s="20"/>
      <c r="G10" s="7">
        <f>IF(COUNT(V10:Y10)&gt;0,SUM(AF10:AI10),"")</f>
        <v>0</v>
      </c>
      <c r="H10" s="7">
        <f>IF(COUNT(G10:G10)&gt;0,IF(SUM(G$7:G$10)&gt;0,RANK(G10,G$7:G$10,0),""),"")</f>
        <v>4</v>
      </c>
      <c r="J10" s="28">
        <v>4</v>
      </c>
      <c r="K10" s="60" t="str">
        <f>CONCATENATE(VLOOKUP(T10,clubs,2,)," ",U10)</f>
        <v>Counties Manukau 2</v>
      </c>
      <c r="L10" s="16" t="str">
        <f>IF(ISBLANK(O7),"",CONCATENATE(RIGHT(O7),"-",LEFT(O7)))</f>
        <v>0-5</v>
      </c>
      <c r="M10" s="16" t="str">
        <f>IF(ISBLANK(O8),"",CONCATENATE(RIGHT(O8),"-",LEFT(O8)))</f>
        <v>0-5</v>
      </c>
      <c r="N10" s="16" t="str">
        <f>IF(ISBLANK(O9),"",CONCATENATE(RIGHT(O9),"-",LEFT(O9)))</f>
        <v>0-5</v>
      </c>
      <c r="O10" s="20"/>
      <c r="P10" s="7">
        <f>IF(COUNT(AA10:AD10)&gt;0,SUM(AK10:AN10),"")</f>
        <v>0</v>
      </c>
      <c r="Q10" s="7">
        <f>IF(COUNT(P10:P10)&gt;0,IF(SUM(P$7:P$10)&gt;0,RANK(P10,P$7:P$10,0),""),"")</f>
        <v>4</v>
      </c>
      <c r="R10" s="6" t="s">
        <v>184</v>
      </c>
      <c r="S10" s="6">
        <v>2</v>
      </c>
      <c r="T10" s="6" t="s">
        <v>187</v>
      </c>
      <c r="U10" s="6">
        <v>2</v>
      </c>
      <c r="V10" s="21">
        <f t="shared" si="0"/>
        <v>0</v>
      </c>
      <c r="W10" s="21">
        <f t="shared" si="0"/>
        <v>0</v>
      </c>
      <c r="X10" s="21">
        <f t="shared" si="0"/>
        <v>0</v>
      </c>
      <c r="Y10" s="21">
        <f t="shared" si="0"/>
      </c>
      <c r="Z10" s="21"/>
      <c r="AA10" s="21">
        <f t="shared" si="1"/>
        <v>0</v>
      </c>
      <c r="AB10" s="21">
        <f t="shared" si="1"/>
        <v>0</v>
      </c>
      <c r="AC10" s="21">
        <f t="shared" si="1"/>
        <v>0</v>
      </c>
      <c r="AD10" s="21">
        <f t="shared" si="1"/>
      </c>
      <c r="AF10" s="6">
        <f t="shared" si="2"/>
      </c>
      <c r="AG10" s="55">
        <f t="shared" si="2"/>
      </c>
      <c r="AH10" s="55">
        <f t="shared" si="2"/>
      </c>
      <c r="AI10" s="55">
        <f t="shared" si="2"/>
      </c>
      <c r="AJ10" s="55"/>
      <c r="AK10" s="55">
        <f t="shared" si="3"/>
      </c>
      <c r="AL10" s="55">
        <f t="shared" si="3"/>
      </c>
      <c r="AM10" s="55">
        <f t="shared" si="3"/>
      </c>
      <c r="AN10" s="55">
        <f t="shared" si="3"/>
      </c>
    </row>
    <row r="11" spans="18:21" ht="28.5" customHeight="1">
      <c r="R11" s="6" t="s">
        <v>182</v>
      </c>
      <c r="S11" s="6" t="s">
        <v>201</v>
      </c>
      <c r="T11" s="6" t="s">
        <v>182</v>
      </c>
      <c r="U11" s="6" t="s">
        <v>201</v>
      </c>
    </row>
    <row r="12" spans="2:23" ht="28.5" customHeight="1">
      <c r="B12" s="28" t="s">
        <v>9</v>
      </c>
      <c r="C12" s="114" t="str">
        <f>CONCATENATE("Table ",R12)</f>
        <v>Table 11</v>
      </c>
      <c r="D12" s="115"/>
      <c r="E12" s="114" t="str">
        <f>CONCATENATE("Table ",T12)</f>
        <v>Table 12</v>
      </c>
      <c r="F12" s="115"/>
      <c r="G12" s="28" t="str">
        <f>CONCATENATE("Table ",V12)</f>
        <v>Table 13</v>
      </c>
      <c r="H12" s="28" t="str">
        <f>CONCATENATE("Table ",W12)</f>
        <v>Table 14</v>
      </c>
      <c r="R12" s="89" t="s">
        <v>220</v>
      </c>
      <c r="T12" s="6">
        <v>12</v>
      </c>
      <c r="V12" s="6">
        <v>13</v>
      </c>
      <c r="W12" s="6">
        <v>14</v>
      </c>
    </row>
    <row r="13" spans="2:20" ht="28.5" customHeight="1">
      <c r="B13" s="28" t="s">
        <v>212</v>
      </c>
      <c r="C13" s="108" t="s">
        <v>43</v>
      </c>
      <c r="D13" s="108"/>
      <c r="E13" s="108" t="s">
        <v>44</v>
      </c>
      <c r="F13" s="108"/>
      <c r="G13" s="43" t="s">
        <v>45</v>
      </c>
      <c r="H13" s="43" t="s">
        <v>46</v>
      </c>
      <c r="K13" s="69"/>
      <c r="S13" s="6">
        <f>W2</f>
        <v>6</v>
      </c>
      <c r="T13" s="6" t="s">
        <v>2</v>
      </c>
    </row>
    <row r="14" spans="2:19" ht="28.5" customHeight="1">
      <c r="B14" s="28" t="s">
        <v>213</v>
      </c>
      <c r="C14" s="108" t="s">
        <v>49</v>
      </c>
      <c r="D14" s="108"/>
      <c r="E14" s="108" t="s">
        <v>50</v>
      </c>
      <c r="F14" s="108"/>
      <c r="G14" s="29" t="s">
        <v>47</v>
      </c>
      <c r="H14" s="29" t="s">
        <v>48</v>
      </c>
      <c r="K14" s="69"/>
      <c r="S14" s="6">
        <f>X2</f>
        <v>8</v>
      </c>
    </row>
    <row r="15" spans="2:19" ht="28.5" customHeight="1">
      <c r="B15" s="28" t="s">
        <v>214</v>
      </c>
      <c r="C15" s="108" t="s">
        <v>54</v>
      </c>
      <c r="D15" s="108"/>
      <c r="E15" s="108" t="s">
        <v>51</v>
      </c>
      <c r="F15" s="108"/>
      <c r="G15" s="29" t="s">
        <v>53</v>
      </c>
      <c r="H15" s="29" t="s">
        <v>52</v>
      </c>
      <c r="K15" s="69"/>
      <c r="S15" s="6">
        <f>Y2</f>
        <v>12</v>
      </c>
    </row>
    <row r="16" spans="2:19" ht="28.5" customHeight="1">
      <c r="B16" s="44"/>
      <c r="C16" s="45"/>
      <c r="D16" s="45"/>
      <c r="E16" s="45"/>
      <c r="F16" s="45"/>
      <c r="K16" s="44"/>
      <c r="L16" s="45"/>
      <c r="M16" s="45"/>
      <c r="N16" s="45"/>
      <c r="O16" s="45"/>
      <c r="S16" s="6" t="s">
        <v>2</v>
      </c>
    </row>
    <row r="17" spans="1:10" ht="28.5" customHeight="1">
      <c r="A17" s="38" t="s">
        <v>55</v>
      </c>
      <c r="I17" s="39" t="s">
        <v>27</v>
      </c>
      <c r="J17" s="38" t="s">
        <v>66</v>
      </c>
    </row>
    <row r="18" spans="2:17" ht="28.5" customHeight="1">
      <c r="B18" s="46" t="s">
        <v>64</v>
      </c>
      <c r="C18" s="28"/>
      <c r="D18" s="77"/>
      <c r="E18" s="77"/>
      <c r="F18" s="44"/>
      <c r="G18" s="71"/>
      <c r="H18" s="72"/>
      <c r="K18" s="70" t="s">
        <v>65</v>
      </c>
      <c r="L18" s="28"/>
      <c r="M18" s="77"/>
      <c r="N18" s="77"/>
      <c r="O18" s="77"/>
      <c r="P18" s="77"/>
      <c r="Q18" s="78"/>
    </row>
    <row r="19" spans="1:40" ht="28.5" customHeight="1">
      <c r="A19" s="28" t="s">
        <v>56</v>
      </c>
      <c r="B19" s="4" t="str">
        <f>IF(SUM($G$7:$G$10)=6,INDEX($B$7:$B$10,MATCH(1,$H$7:$H$10,0)),"")</f>
        <v>Auckland 1</v>
      </c>
      <c r="C19" s="101" t="s">
        <v>372</v>
      </c>
      <c r="D19" s="80"/>
      <c r="E19" s="82"/>
      <c r="F19" s="97"/>
      <c r="G19" s="76"/>
      <c r="H19" s="76"/>
      <c r="J19" s="28" t="s">
        <v>60</v>
      </c>
      <c r="K19" s="4" t="str">
        <f>IF(SUM($G$7:$G$10)=6,INDEX($B$7:$B$10,MATCH(3,$H$7:$H$10,0)),"")</f>
        <v>Auckland 3</v>
      </c>
      <c r="L19" s="101" t="s">
        <v>377</v>
      </c>
      <c r="M19" s="80"/>
      <c r="N19" s="80"/>
      <c r="O19" s="81"/>
      <c r="P19" s="82"/>
      <c r="Q19" s="82"/>
      <c r="V19" s="21">
        <f aca="true" t="shared" si="4" ref="V19:Y23">IF(C19="","",VALUE(LEFT(C19)))</f>
        <v>4</v>
      </c>
      <c r="W19" s="21">
        <f t="shared" si="4"/>
      </c>
      <c r="X19" s="21">
        <f t="shared" si="4"/>
      </c>
      <c r="Y19" s="21">
        <f t="shared" si="4"/>
      </c>
      <c r="Z19" s="21"/>
      <c r="AA19" s="21">
        <f aca="true" t="shared" si="5" ref="AA19:AD23">IF(L19="","",VALUE(LEFT(L19)))</f>
        <v>5</v>
      </c>
      <c r="AB19" s="21">
        <f t="shared" si="5"/>
      </c>
      <c r="AC19" s="21">
        <f t="shared" si="5"/>
      </c>
      <c r="AD19" s="21">
        <f t="shared" si="5"/>
      </c>
      <c r="AF19" s="6">
        <f aca="true" t="shared" si="6" ref="AF19:AI23">IF(C19="","",IF(V19&gt;$W$6,1,""))</f>
      </c>
      <c r="AG19" s="55">
        <f t="shared" si="6"/>
      </c>
      <c r="AH19" s="55">
        <f t="shared" si="6"/>
      </c>
      <c r="AI19" s="55">
        <f t="shared" si="6"/>
      </c>
      <c r="AJ19" s="55"/>
      <c r="AK19" s="55">
        <f aca="true" t="shared" si="7" ref="AK19:AN23">IF(L19="","",IF(AA19&gt;$W$6,1,""))</f>
        <v>1</v>
      </c>
      <c r="AL19" s="55">
        <f t="shared" si="7"/>
      </c>
      <c r="AM19" s="55">
        <f t="shared" si="7"/>
      </c>
      <c r="AN19" s="55">
        <f t="shared" si="7"/>
      </c>
    </row>
    <row r="20" spans="1:40" ht="28.5" customHeight="1">
      <c r="A20" s="28" t="s">
        <v>57</v>
      </c>
      <c r="B20" s="4" t="str">
        <f>IF(SUM($P$7:$P$10)=6,INDEX($K$7:$K$10,MATCH(1,$Q$7:$Q$10,0)),"")</f>
        <v>Auckland 2</v>
      </c>
      <c r="C20" s="101" t="s">
        <v>373</v>
      </c>
      <c r="D20" s="79"/>
      <c r="E20" s="82"/>
      <c r="F20" s="97"/>
      <c r="G20" s="76"/>
      <c r="H20" s="76"/>
      <c r="J20" s="28" t="s">
        <v>61</v>
      </c>
      <c r="K20" s="4" t="str">
        <f>IF(SUM($P$7:$P$10)=6,INDEX($K$7:$K$10,MATCH(3,$Q$7:$Q$10,0)),"")</f>
        <v>Waitemata 1</v>
      </c>
      <c r="L20" s="101" t="s">
        <v>376</v>
      </c>
      <c r="M20" s="79"/>
      <c r="N20" s="83"/>
      <c r="O20" s="80"/>
      <c r="P20" s="82"/>
      <c r="Q20" s="82"/>
      <c r="V20" s="21">
        <f t="shared" si="4"/>
        <v>1</v>
      </c>
      <c r="W20" s="21">
        <f t="shared" si="4"/>
      </c>
      <c r="X20" s="21">
        <f t="shared" si="4"/>
      </c>
      <c r="Y20" s="21">
        <f t="shared" si="4"/>
      </c>
      <c r="Z20" s="21"/>
      <c r="AA20" s="21">
        <f t="shared" si="5"/>
        <v>0</v>
      </c>
      <c r="AB20" s="21">
        <f t="shared" si="5"/>
      </c>
      <c r="AC20" s="21">
        <f t="shared" si="5"/>
      </c>
      <c r="AD20" s="21">
        <f t="shared" si="5"/>
      </c>
      <c r="AF20" s="6">
        <f t="shared" si="6"/>
      </c>
      <c r="AG20" s="55">
        <f t="shared" si="6"/>
      </c>
      <c r="AH20" s="55">
        <f t="shared" si="6"/>
      </c>
      <c r="AI20" s="55">
        <f t="shared" si="6"/>
      </c>
      <c r="AJ20" s="55"/>
      <c r="AK20" s="55">
        <f t="shared" si="7"/>
      </c>
      <c r="AL20" s="55">
        <f t="shared" si="7"/>
      </c>
      <c r="AM20" s="55">
        <f t="shared" si="7"/>
      </c>
      <c r="AN20" s="55">
        <f t="shared" si="7"/>
      </c>
    </row>
    <row r="21" spans="1:40" ht="28.5" customHeight="1">
      <c r="A21" s="44"/>
      <c r="B21" s="96"/>
      <c r="C21" s="81"/>
      <c r="D21" s="79"/>
      <c r="E21" s="82"/>
      <c r="F21" s="97"/>
      <c r="G21" s="76"/>
      <c r="H21" s="76"/>
      <c r="I21" s="17"/>
      <c r="J21" s="44"/>
      <c r="K21" s="96"/>
      <c r="L21" s="79"/>
      <c r="M21" s="79"/>
      <c r="N21" s="83"/>
      <c r="O21" s="80"/>
      <c r="P21" s="82"/>
      <c r="Q21" s="82"/>
      <c r="V21" s="21"/>
      <c r="W21" s="21"/>
      <c r="X21" s="21"/>
      <c r="Y21" s="21"/>
      <c r="Z21" s="21"/>
      <c r="AA21" s="21"/>
      <c r="AB21" s="21"/>
      <c r="AC21" s="21"/>
      <c r="AD21" s="21"/>
      <c r="AG21" s="55"/>
      <c r="AH21" s="55"/>
      <c r="AI21" s="55"/>
      <c r="AJ21" s="55"/>
      <c r="AK21" s="55"/>
      <c r="AL21" s="55"/>
      <c r="AM21" s="55"/>
      <c r="AN21" s="55"/>
    </row>
    <row r="22" spans="1:40" ht="28.5" customHeight="1">
      <c r="A22" s="28" t="s">
        <v>58</v>
      </c>
      <c r="B22" s="4" t="str">
        <f>IF(SUM($P$7:$P$10)=6,INDEX($K$7:$K$10,MATCH(2,$Q$7:$Q$10,0)),"")</f>
        <v>North Harbour 1</v>
      </c>
      <c r="C22" s="101" t="s">
        <v>372</v>
      </c>
      <c r="D22" s="80"/>
      <c r="E22" s="82"/>
      <c r="F22" s="97"/>
      <c r="G22" s="76"/>
      <c r="H22" s="76"/>
      <c r="J22" s="28" t="s">
        <v>62</v>
      </c>
      <c r="K22" s="4" t="str">
        <f>IF(SUM($P$7:$P$10)=6,INDEX($K$7:$K$10,MATCH(4,$Q$7:$Q$10,0)),"")</f>
        <v>Counties Manukau 2</v>
      </c>
      <c r="L22" s="101" t="s">
        <v>376</v>
      </c>
      <c r="M22" s="83"/>
      <c r="N22" s="79"/>
      <c r="O22" s="80"/>
      <c r="P22" s="82"/>
      <c r="Q22" s="82"/>
      <c r="V22" s="21">
        <f t="shared" si="4"/>
        <v>4</v>
      </c>
      <c r="W22" s="21">
        <f t="shared" si="4"/>
      </c>
      <c r="X22" s="21">
        <f t="shared" si="4"/>
      </c>
      <c r="Y22" s="21">
        <f t="shared" si="4"/>
      </c>
      <c r="Z22" s="21"/>
      <c r="AA22" s="21">
        <f t="shared" si="5"/>
        <v>0</v>
      </c>
      <c r="AB22" s="21">
        <f t="shared" si="5"/>
      </c>
      <c r="AC22" s="21">
        <f t="shared" si="5"/>
      </c>
      <c r="AD22" s="21">
        <f t="shared" si="5"/>
      </c>
      <c r="AF22" s="6">
        <f t="shared" si="6"/>
      </c>
      <c r="AG22" s="55">
        <f t="shared" si="6"/>
      </c>
      <c r="AH22" s="55">
        <f t="shared" si="6"/>
      </c>
      <c r="AI22" s="55">
        <f t="shared" si="6"/>
      </c>
      <c r="AJ22" s="55"/>
      <c r="AK22" s="55">
        <f t="shared" si="7"/>
      </c>
      <c r="AL22" s="55">
        <f t="shared" si="7"/>
      </c>
      <c r="AM22" s="55">
        <f t="shared" si="7"/>
      </c>
      <c r="AN22" s="55">
        <f t="shared" si="7"/>
      </c>
    </row>
    <row r="23" spans="1:40" ht="28.5" customHeight="1">
      <c r="A23" s="28" t="s">
        <v>59</v>
      </c>
      <c r="B23" s="4" t="str">
        <f>IF(SUM($G$7:$G$10)=6,INDEX($B$7:$B$10,MATCH(2,$H$7:$H$10,0)),"")</f>
        <v>Counties Manukau 1</v>
      </c>
      <c r="C23" s="102" t="s">
        <v>373</v>
      </c>
      <c r="D23" s="79"/>
      <c r="E23" s="82"/>
      <c r="F23" s="97"/>
      <c r="G23" s="76"/>
      <c r="H23" s="76"/>
      <c r="J23" s="28" t="s">
        <v>63</v>
      </c>
      <c r="K23" s="4" t="str">
        <f>IF(SUM($G$7:$G$10)=6,INDEX($B$7:$B$10,MATCH(4,$H$7:$H$10,0)),"")</f>
        <v>Waitemata 2</v>
      </c>
      <c r="L23" s="16" t="s">
        <v>377</v>
      </c>
      <c r="M23" s="79"/>
      <c r="N23" s="79"/>
      <c r="O23" s="79"/>
      <c r="P23" s="82"/>
      <c r="Q23" s="82"/>
      <c r="V23" s="21">
        <f t="shared" si="4"/>
        <v>1</v>
      </c>
      <c r="W23" s="21">
        <f t="shared" si="4"/>
      </c>
      <c r="X23" s="21">
        <f t="shared" si="4"/>
      </c>
      <c r="Y23" s="21">
        <f t="shared" si="4"/>
      </c>
      <c r="Z23" s="21"/>
      <c r="AA23" s="21">
        <f t="shared" si="5"/>
        <v>5</v>
      </c>
      <c r="AB23" s="21">
        <f t="shared" si="5"/>
      </c>
      <c r="AC23" s="21">
        <f t="shared" si="5"/>
      </c>
      <c r="AD23" s="21">
        <f t="shared" si="5"/>
      </c>
      <c r="AF23" s="6">
        <f t="shared" si="6"/>
      </c>
      <c r="AG23" s="55">
        <f t="shared" si="6"/>
      </c>
      <c r="AH23" s="55">
        <f t="shared" si="6"/>
      </c>
      <c r="AI23" s="55">
        <f t="shared" si="6"/>
      </c>
      <c r="AJ23" s="55"/>
      <c r="AK23" s="55">
        <f t="shared" si="7"/>
        <v>1</v>
      </c>
      <c r="AL23" s="55">
        <f t="shared" si="7"/>
      </c>
      <c r="AM23" s="55">
        <f t="shared" si="7"/>
      </c>
      <c r="AN23" s="55">
        <f t="shared" si="7"/>
      </c>
    </row>
    <row r="24" ht="28.5" customHeight="1">
      <c r="N24" s="6" t="s">
        <v>2</v>
      </c>
    </row>
    <row r="25" spans="2:24" ht="28.5" customHeight="1">
      <c r="B25" s="28" t="s">
        <v>9</v>
      </c>
      <c r="C25" s="114" t="s">
        <v>315</v>
      </c>
      <c r="D25" s="115"/>
      <c r="E25" s="114" t="s">
        <v>316</v>
      </c>
      <c r="F25" s="115"/>
      <c r="K25" s="28" t="s">
        <v>9</v>
      </c>
      <c r="L25" s="114" t="s">
        <v>317</v>
      </c>
      <c r="M25" s="115"/>
      <c r="N25" s="114" t="s">
        <v>318</v>
      </c>
      <c r="O25" s="115"/>
      <c r="R25" s="6" t="str">
        <f>R12</f>
        <v>11</v>
      </c>
      <c r="T25" s="6">
        <f>R25+1</f>
        <v>12</v>
      </c>
      <c r="V25" s="6">
        <f>T25+1</f>
        <v>13</v>
      </c>
      <c r="W25" s="6" t="s">
        <v>2</v>
      </c>
      <c r="X25" s="6">
        <f>V25+1</f>
        <v>14</v>
      </c>
    </row>
    <row r="26" spans="2:19" ht="28.5" customHeight="1">
      <c r="B26" s="28" t="s">
        <v>215</v>
      </c>
      <c r="C26" s="108" t="s">
        <v>35</v>
      </c>
      <c r="D26" s="108"/>
      <c r="E26" s="108" t="s">
        <v>36</v>
      </c>
      <c r="F26" s="108"/>
      <c r="K26" s="28" t="s">
        <v>215</v>
      </c>
      <c r="L26" s="108" t="s">
        <v>224</v>
      </c>
      <c r="M26" s="108"/>
      <c r="N26" s="108" t="s">
        <v>225</v>
      </c>
      <c r="O26" s="108"/>
      <c r="S26" s="6">
        <f>Z2</f>
        <v>14</v>
      </c>
    </row>
    <row r="27" spans="2:15" ht="28.5" customHeight="1">
      <c r="B27" s="44"/>
      <c r="K27" s="44"/>
      <c r="L27" s="45"/>
      <c r="M27" s="45"/>
      <c r="N27" s="45"/>
      <c r="O27" s="45"/>
    </row>
    <row r="28" ht="28.5" customHeight="1"/>
    <row r="29" ht="12.75">
      <c r="B29" s="31" t="s">
        <v>30</v>
      </c>
    </row>
    <row r="31" ht="12.75">
      <c r="B31" s="6" t="s">
        <v>34</v>
      </c>
    </row>
    <row r="32" ht="12.75">
      <c r="B32" s="6" t="s">
        <v>217</v>
      </c>
    </row>
    <row r="33" ht="12.75">
      <c r="B33" s="6" t="s">
        <v>33</v>
      </c>
    </row>
  </sheetData>
  <sheetProtection/>
  <mergeCells count="19">
    <mergeCell ref="C26:D26"/>
    <mergeCell ref="E26:F26"/>
    <mergeCell ref="E15:F15"/>
    <mergeCell ref="C25:D25"/>
    <mergeCell ref="E25:F25"/>
    <mergeCell ref="C15:D15"/>
    <mergeCell ref="C14:D14"/>
    <mergeCell ref="E14:F14"/>
    <mergeCell ref="A1:Q1"/>
    <mergeCell ref="A2:Q2"/>
    <mergeCell ref="A3:Q3"/>
    <mergeCell ref="C13:D13"/>
    <mergeCell ref="E13:F13"/>
    <mergeCell ref="C12:D12"/>
    <mergeCell ref="E12:F12"/>
    <mergeCell ref="L25:M25"/>
    <mergeCell ref="N25:O25"/>
    <mergeCell ref="L26:M26"/>
    <mergeCell ref="N26:O26"/>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C43"/>
  <sheetViews>
    <sheetView tabSelected="1" zoomScale="95" zoomScaleNormal="95" workbookViewId="0" topLeftCell="A1">
      <selection activeCell="A1" sqref="A1:C1"/>
    </sheetView>
  </sheetViews>
  <sheetFormatPr defaultColWidth="9.140625" defaultRowHeight="12.75"/>
  <cols>
    <col min="1" max="1" width="20.28125" style="0" customWidth="1"/>
    <col min="2" max="2" width="49.8515625" style="0" customWidth="1"/>
    <col min="3" max="3" width="20.00390625" style="0" bestFit="1" customWidth="1"/>
  </cols>
  <sheetData>
    <row r="1" spans="1:3" ht="23.25">
      <c r="A1" s="105" t="s">
        <v>210</v>
      </c>
      <c r="B1" s="106"/>
      <c r="C1" s="106"/>
    </row>
    <row r="2" spans="1:3" ht="18">
      <c r="A2" s="107" t="s">
        <v>276</v>
      </c>
      <c r="B2" s="106"/>
      <c r="C2" s="106"/>
    </row>
    <row r="3" spans="1:3" ht="18">
      <c r="A3" s="107" t="s">
        <v>226</v>
      </c>
      <c r="B3" s="106"/>
      <c r="C3" s="106"/>
    </row>
    <row r="5" spans="1:3" ht="12.75">
      <c r="A5" s="93"/>
      <c r="B5" s="90" t="s">
        <v>331</v>
      </c>
      <c r="C5" s="93"/>
    </row>
    <row r="6" spans="1:3" ht="12.75">
      <c r="A6" s="92"/>
      <c r="B6" s="91" t="s">
        <v>355</v>
      </c>
      <c r="C6" s="92"/>
    </row>
    <row r="7" spans="1:3" ht="12.75">
      <c r="A7" s="92"/>
      <c r="B7" s="91" t="s">
        <v>261</v>
      </c>
      <c r="C7" s="92"/>
    </row>
    <row r="8" spans="1:3" ht="12.75">
      <c r="A8" s="92"/>
      <c r="B8" s="91" t="s">
        <v>268</v>
      </c>
      <c r="C8" s="92"/>
    </row>
    <row r="9" spans="1:3" ht="12.75">
      <c r="A9" s="92"/>
      <c r="B9" s="92"/>
      <c r="C9" s="92"/>
    </row>
    <row r="10" spans="1:3" ht="12.75">
      <c r="A10" s="92"/>
      <c r="B10" s="90" t="s">
        <v>332</v>
      </c>
      <c r="C10" s="92"/>
    </row>
    <row r="11" spans="1:3" ht="12.75">
      <c r="A11" s="92"/>
      <c r="B11" s="91" t="s">
        <v>259</v>
      </c>
      <c r="C11" s="92"/>
    </row>
    <row r="12" spans="1:3" ht="12.75">
      <c r="A12" s="92"/>
      <c r="B12" s="91" t="s">
        <v>266</v>
      </c>
      <c r="C12" s="92"/>
    </row>
    <row r="13" spans="1:3" ht="12.75">
      <c r="A13" s="92"/>
      <c r="B13" s="91" t="s">
        <v>273</v>
      </c>
      <c r="C13" s="92"/>
    </row>
    <row r="14" spans="1:3" ht="12.75">
      <c r="A14" s="92"/>
      <c r="B14" s="92"/>
      <c r="C14" s="92"/>
    </row>
    <row r="15" spans="1:3" ht="12.75">
      <c r="A15" s="93"/>
      <c r="B15" s="90" t="s">
        <v>333</v>
      </c>
      <c r="C15" s="92"/>
    </row>
    <row r="16" spans="1:2" ht="12.75">
      <c r="A16" s="92"/>
      <c r="B16" s="91" t="s">
        <v>363</v>
      </c>
    </row>
    <row r="17" spans="1:2" ht="12.75">
      <c r="A17" s="92"/>
      <c r="B17" s="91" t="s">
        <v>262</v>
      </c>
    </row>
    <row r="18" spans="1:2" ht="12.75">
      <c r="A18" s="92"/>
      <c r="B18" s="91" t="s">
        <v>269</v>
      </c>
    </row>
    <row r="19" ht="12.75">
      <c r="A19" s="94"/>
    </row>
    <row r="20" spans="1:2" ht="12.75">
      <c r="A20" s="93"/>
      <c r="B20" s="90" t="s">
        <v>334</v>
      </c>
    </row>
    <row r="21" spans="1:2" ht="12.75">
      <c r="A21" s="92"/>
      <c r="B21" s="91" t="s">
        <v>256</v>
      </c>
    </row>
    <row r="22" spans="1:2" ht="12.75">
      <c r="A22" s="92"/>
      <c r="B22" s="91" t="s">
        <v>263</v>
      </c>
    </row>
    <row r="23" spans="1:2" ht="12.75">
      <c r="A23" s="92"/>
      <c r="B23" s="91" t="s">
        <v>270</v>
      </c>
    </row>
    <row r="24" ht="12.75">
      <c r="A24" s="94"/>
    </row>
    <row r="25" spans="1:2" ht="12.75">
      <c r="A25" s="93"/>
      <c r="B25" s="90" t="s">
        <v>335</v>
      </c>
    </row>
    <row r="26" spans="1:2" ht="12.75">
      <c r="A26" s="92"/>
      <c r="B26" s="91" t="s">
        <v>257</v>
      </c>
    </row>
    <row r="27" spans="1:2" ht="12.75">
      <c r="A27" s="92"/>
      <c r="B27" s="91" t="s">
        <v>264</v>
      </c>
    </row>
    <row r="28" spans="1:2" ht="12.75">
      <c r="A28" s="92"/>
      <c r="B28" s="91" t="s">
        <v>271</v>
      </c>
    </row>
    <row r="29" ht="12.75">
      <c r="A29" s="94"/>
    </row>
    <row r="30" spans="1:2" ht="12.75">
      <c r="A30" s="93"/>
      <c r="B30" s="90" t="s">
        <v>336</v>
      </c>
    </row>
    <row r="31" spans="1:2" ht="12.75">
      <c r="A31" s="92"/>
      <c r="B31" s="91" t="s">
        <v>260</v>
      </c>
    </row>
    <row r="32" spans="1:2" ht="12.75">
      <c r="A32" s="92"/>
      <c r="B32" s="91" t="s">
        <v>267</v>
      </c>
    </row>
    <row r="33" spans="1:2" ht="12.75">
      <c r="A33" s="92"/>
      <c r="B33" s="91" t="s">
        <v>274</v>
      </c>
    </row>
    <row r="34" spans="1:2" ht="12.75">
      <c r="A34" s="92"/>
      <c r="B34" s="91" t="s">
        <v>275</v>
      </c>
    </row>
    <row r="35" ht="12.75">
      <c r="A35" s="94"/>
    </row>
    <row r="36" spans="1:2" ht="12.75">
      <c r="A36" s="94"/>
      <c r="B36" s="90" t="s">
        <v>337</v>
      </c>
    </row>
    <row r="37" spans="1:2" ht="12.75">
      <c r="A37" s="94"/>
      <c r="B37" s="91" t="s">
        <v>258</v>
      </c>
    </row>
    <row r="38" spans="1:2" ht="12.75">
      <c r="A38" s="94"/>
      <c r="B38" s="91" t="s">
        <v>265</v>
      </c>
    </row>
    <row r="39" spans="1:2" ht="12.75">
      <c r="A39" s="94"/>
      <c r="B39" s="91" t="s">
        <v>272</v>
      </c>
    </row>
    <row r="40" spans="1:2" ht="12.75">
      <c r="A40" s="94"/>
      <c r="B40" s="91" t="s">
        <v>364</v>
      </c>
    </row>
    <row r="41" ht="12.75">
      <c r="A41" s="94"/>
    </row>
    <row r="42" spans="1:2" ht="12.75">
      <c r="A42" s="93"/>
      <c r="B42" s="90" t="s">
        <v>202</v>
      </c>
    </row>
    <row r="43" spans="1:2" ht="12.75">
      <c r="A43" s="92"/>
      <c r="B43" s="91" t="s">
        <v>255</v>
      </c>
    </row>
  </sheetData>
  <mergeCells count="3">
    <mergeCell ref="A1:C1"/>
    <mergeCell ref="A2:C2"/>
    <mergeCell ref="A3:C3"/>
  </mergeCells>
  <printOptions/>
  <pageMargins left="0.75" right="0.75" top="1" bottom="1" header="0.5" footer="0.5"/>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AN33"/>
  <sheetViews>
    <sheetView tabSelected="1" workbookViewId="0" topLeftCell="A1">
      <selection activeCell="A1" sqref="A1:C1"/>
    </sheetView>
  </sheetViews>
  <sheetFormatPr defaultColWidth="9.140625" defaultRowHeight="12.75"/>
  <cols>
    <col min="1" max="1" width="4.7109375" style="6" customWidth="1"/>
    <col min="2" max="2" width="18.7109375" style="6" customWidth="1"/>
    <col min="3" max="3" width="5.8515625" style="6" customWidth="1"/>
    <col min="4" max="6" width="4.7109375" style="6" customWidth="1"/>
    <col min="7" max="8" width="8.7109375" style="6" customWidth="1"/>
    <col min="9" max="9" width="9.140625" style="6" customWidth="1"/>
    <col min="10" max="10" width="4.7109375" style="6" customWidth="1"/>
    <col min="11" max="11" width="19.140625" style="6" customWidth="1"/>
    <col min="12" max="12" width="5.8515625" style="6" customWidth="1"/>
    <col min="13" max="15" width="4.7109375" style="6" customWidth="1"/>
    <col min="16" max="17" width="8.7109375" style="6" customWidth="1"/>
    <col min="18" max="40" width="3.7109375" style="6" hidden="1" customWidth="1"/>
    <col min="41" max="52" width="3.7109375" style="6" customWidth="1"/>
    <col min="53" max="16384" width="9.140625" style="6" customWidth="1"/>
  </cols>
  <sheetData>
    <row r="1" spans="1:17" ht="28.5" customHeight="1">
      <c r="A1" s="112" t="s">
        <v>210</v>
      </c>
      <c r="B1" s="112"/>
      <c r="C1" s="112"/>
      <c r="D1" s="112"/>
      <c r="E1" s="112"/>
      <c r="F1" s="112"/>
      <c r="G1" s="112"/>
      <c r="H1" s="112"/>
      <c r="I1" s="112"/>
      <c r="J1" s="112"/>
      <c r="K1" s="112"/>
      <c r="L1" s="112"/>
      <c r="M1" s="112"/>
      <c r="N1" s="112"/>
      <c r="O1" s="112"/>
      <c r="P1" s="112"/>
      <c r="Q1" s="112"/>
    </row>
    <row r="2" spans="1:29" ht="28.5" customHeight="1">
      <c r="A2" s="113" t="s">
        <v>218</v>
      </c>
      <c r="B2" s="113"/>
      <c r="C2" s="113"/>
      <c r="D2" s="113"/>
      <c r="E2" s="113"/>
      <c r="F2" s="113"/>
      <c r="G2" s="113"/>
      <c r="H2" s="113"/>
      <c r="I2" s="113"/>
      <c r="J2" s="113"/>
      <c r="K2" s="113"/>
      <c r="L2" s="113"/>
      <c r="M2" s="113"/>
      <c r="N2" s="113"/>
      <c r="O2" s="113"/>
      <c r="P2" s="113"/>
      <c r="Q2" s="113"/>
      <c r="R2" s="61" t="str">
        <f>Control!A3</f>
        <v>Men's A Grade</v>
      </c>
      <c r="S2" s="61" t="str">
        <f>Control!B3</f>
        <v>Kean Challenge Shield</v>
      </c>
      <c r="T2" s="61">
        <f>Control!C3</f>
        <v>9</v>
      </c>
      <c r="U2" s="61">
        <f>Control!D3</f>
        <v>1</v>
      </c>
      <c r="V2" s="61">
        <f>Control!E3</f>
        <v>1</v>
      </c>
      <c r="W2" s="61">
        <f>Control!F3</f>
        <v>6</v>
      </c>
      <c r="X2" s="61">
        <f>Control!G3</f>
        <v>8</v>
      </c>
      <c r="Y2" s="61">
        <f>Control!H3</f>
        <v>12</v>
      </c>
      <c r="Z2" s="61">
        <f>Control!I3</f>
        <v>14</v>
      </c>
      <c r="AA2" s="61">
        <f>Control!J3</f>
        <v>18</v>
      </c>
      <c r="AB2" s="61">
        <f>Control!K3</f>
        <v>21</v>
      </c>
      <c r="AC2" s="61">
        <f>Control!L3</f>
        <v>0</v>
      </c>
    </row>
    <row r="3" spans="1:17" ht="28.5" customHeight="1">
      <c r="A3" s="113"/>
      <c r="B3" s="113"/>
      <c r="C3" s="113"/>
      <c r="D3" s="113"/>
      <c r="E3" s="113"/>
      <c r="F3" s="113"/>
      <c r="G3" s="113"/>
      <c r="H3" s="113"/>
      <c r="I3" s="113"/>
      <c r="J3" s="113"/>
      <c r="K3" s="113"/>
      <c r="L3" s="113"/>
      <c r="M3" s="113"/>
      <c r="N3" s="113"/>
      <c r="O3" s="113"/>
      <c r="P3" s="113"/>
      <c r="Q3" s="113"/>
    </row>
    <row r="4" spans="1:17" ht="28.5" customHeight="1">
      <c r="A4" s="37"/>
      <c r="B4" s="37"/>
      <c r="C4" s="37"/>
      <c r="D4" s="37"/>
      <c r="E4" s="37"/>
      <c r="F4" s="37"/>
      <c r="G4" s="37"/>
      <c r="H4" s="37"/>
      <c r="I4" s="37"/>
      <c r="J4" s="37"/>
      <c r="K4" s="37"/>
      <c r="L4" s="37"/>
      <c r="M4" s="37"/>
      <c r="N4" s="37"/>
      <c r="O4" s="37"/>
      <c r="P4" s="37"/>
      <c r="Q4" s="37"/>
    </row>
    <row r="5" spans="1:23" ht="28.5" customHeight="1">
      <c r="A5" s="38" t="s">
        <v>55</v>
      </c>
      <c r="I5" s="39" t="s">
        <v>26</v>
      </c>
      <c r="J5" s="38" t="s">
        <v>66</v>
      </c>
      <c r="V5" s="55" t="s">
        <v>2</v>
      </c>
      <c r="W5" s="55" t="s">
        <v>2</v>
      </c>
    </row>
    <row r="6" spans="2:23" ht="28.5" customHeight="1">
      <c r="B6" s="28" t="s">
        <v>4</v>
      </c>
      <c r="C6" s="28">
        <v>1</v>
      </c>
      <c r="D6" s="28">
        <v>2</v>
      </c>
      <c r="E6" s="28">
        <v>3</v>
      </c>
      <c r="F6" s="28">
        <v>4</v>
      </c>
      <c r="G6" s="28" t="s">
        <v>0</v>
      </c>
      <c r="H6" s="28" t="s">
        <v>1</v>
      </c>
      <c r="K6" s="28" t="s">
        <v>5</v>
      </c>
      <c r="L6" s="28">
        <v>1</v>
      </c>
      <c r="M6" s="28">
        <v>2</v>
      </c>
      <c r="N6" s="28">
        <v>3</v>
      </c>
      <c r="O6" s="28">
        <v>4</v>
      </c>
      <c r="P6" s="28" t="s">
        <v>0</v>
      </c>
      <c r="Q6" s="28" t="s">
        <v>1</v>
      </c>
      <c r="V6" s="55" t="s">
        <v>2</v>
      </c>
      <c r="W6" s="55">
        <f>INT(T2/2)</f>
        <v>4</v>
      </c>
    </row>
    <row r="7" spans="1:40" ht="28.5" customHeight="1">
      <c r="A7" s="28">
        <v>1</v>
      </c>
      <c r="B7" s="60" t="str">
        <f>CONCATENATE(VLOOKUP(R7,clubs,2,)," ",S7)</f>
        <v>Auckland 1</v>
      </c>
      <c r="C7" s="41"/>
      <c r="D7" s="3" t="s">
        <v>366</v>
      </c>
      <c r="E7" s="3" t="s">
        <v>366</v>
      </c>
      <c r="F7" s="3" t="s">
        <v>365</v>
      </c>
      <c r="G7" s="7">
        <v>3</v>
      </c>
      <c r="H7" s="7">
        <f>IF(COUNT(G7:G7)&gt;0,IF(SUM(G$7:G$10)&gt;0,RANK(G7,G$7:G$10,0),""),"")</f>
        <v>1</v>
      </c>
      <c r="J7" s="28">
        <v>1</v>
      </c>
      <c r="K7" s="60" t="str">
        <f>CONCATENATE(VLOOKUP(T7,clubs,2,)," ",U7)</f>
        <v>Auckland 2</v>
      </c>
      <c r="L7" s="20"/>
      <c r="M7" s="3" t="s">
        <v>366</v>
      </c>
      <c r="N7" s="3" t="s">
        <v>367</v>
      </c>
      <c r="O7" s="3" t="s">
        <v>365</v>
      </c>
      <c r="P7" s="7">
        <v>3</v>
      </c>
      <c r="Q7" s="7">
        <f>IF(COUNT(P7:P7)&gt;0,IF(SUM(P$7:P$10)&gt;0,RANK(P7,P$7:P$10,0),""),"")</f>
        <v>1</v>
      </c>
      <c r="R7" s="6" t="s">
        <v>175</v>
      </c>
      <c r="S7" s="6">
        <v>1</v>
      </c>
      <c r="T7" s="6" t="s">
        <v>175</v>
      </c>
      <c r="U7" s="6">
        <v>2</v>
      </c>
      <c r="V7" s="21">
        <f aca="true" t="shared" si="0" ref="V7:Y10">IF(C7="","",VALUE(LEFT(C7)))</f>
      </c>
      <c r="W7" s="21">
        <f t="shared" si="0"/>
        <v>4</v>
      </c>
      <c r="X7" s="21">
        <f t="shared" si="0"/>
        <v>4</v>
      </c>
      <c r="Y7" s="21">
        <f t="shared" si="0"/>
        <v>5</v>
      </c>
      <c r="Z7" s="21"/>
      <c r="AA7" s="21">
        <f aca="true" t="shared" si="1" ref="AA7:AD10">IF(L7="","",VALUE(LEFT(L7)))</f>
      </c>
      <c r="AB7" s="21">
        <f t="shared" si="1"/>
        <v>4</v>
      </c>
      <c r="AC7" s="21">
        <f t="shared" si="1"/>
        <v>3</v>
      </c>
      <c r="AD7" s="21">
        <f t="shared" si="1"/>
        <v>5</v>
      </c>
      <c r="AF7" s="6">
        <f aca="true" t="shared" si="2" ref="AF7:AI10">IF(C7="","",IF(V7&gt;$W$6,1,""))</f>
      </c>
      <c r="AG7" s="55">
        <f t="shared" si="2"/>
      </c>
      <c r="AH7" s="55">
        <f t="shared" si="2"/>
      </c>
      <c r="AI7" s="55">
        <f t="shared" si="2"/>
        <v>1</v>
      </c>
      <c r="AJ7" s="55"/>
      <c r="AK7" s="55">
        <f aca="true" t="shared" si="3" ref="AK7:AN10">IF(L7="","",IF(AA7&gt;$W$6,1,""))</f>
      </c>
      <c r="AL7" s="55">
        <f t="shared" si="3"/>
      </c>
      <c r="AM7" s="55">
        <f t="shared" si="3"/>
      </c>
      <c r="AN7" s="55">
        <f t="shared" si="3"/>
        <v>1</v>
      </c>
    </row>
    <row r="8" spans="1:40" ht="28.5" customHeight="1">
      <c r="A8" s="28">
        <v>2</v>
      </c>
      <c r="B8" s="42" t="str">
        <f>CONCATENATE(VLOOKUP(R8,clubs,2,)," ",S8)</f>
        <v>North Harbour 1</v>
      </c>
      <c r="C8" s="16" t="str">
        <f>IF(ISBLANK(D7),"",CONCATENATE(RIGHT(D7),"-",LEFT(D7)))</f>
        <v>1-4</v>
      </c>
      <c r="D8" s="20"/>
      <c r="E8" s="3" t="s">
        <v>366</v>
      </c>
      <c r="F8" s="3" t="s">
        <v>365</v>
      </c>
      <c r="G8" s="7">
        <v>2</v>
      </c>
      <c r="H8" s="7">
        <f>IF(COUNT(G8:G8)&gt;0,IF(SUM(G$7:G$10)&gt;0,RANK(G8,G$7:G$10,0),""),"")</f>
        <v>2</v>
      </c>
      <c r="J8" s="28">
        <v>2</v>
      </c>
      <c r="K8" s="42" t="str">
        <f>CONCATENATE(VLOOKUP(T8,clubs,2,)," ",U8)</f>
        <v>Waikato 1</v>
      </c>
      <c r="L8" s="16" t="str">
        <f>IF(ISBLANK(M7),"",CONCATENATE(RIGHT(M7),"-",LEFT(M7)))</f>
        <v>1-4</v>
      </c>
      <c r="M8" s="20"/>
      <c r="N8" s="3" t="s">
        <v>369</v>
      </c>
      <c r="O8" s="3" t="s">
        <v>365</v>
      </c>
      <c r="P8" s="7">
        <v>1</v>
      </c>
      <c r="Q8" s="7">
        <f>IF(COUNT(P8:P8)&gt;0,IF(SUM(P$7:P$10)&gt;0,RANK(P8,P$7:P$10,0),""),"")</f>
        <v>3</v>
      </c>
      <c r="R8" s="6" t="s">
        <v>178</v>
      </c>
      <c r="S8" s="6">
        <v>1</v>
      </c>
      <c r="T8" s="6" t="s">
        <v>183</v>
      </c>
      <c r="U8" s="6">
        <v>1</v>
      </c>
      <c r="V8" s="21">
        <f t="shared" si="0"/>
        <v>1</v>
      </c>
      <c r="W8" s="21">
        <f t="shared" si="0"/>
      </c>
      <c r="X8" s="21">
        <f t="shared" si="0"/>
        <v>4</v>
      </c>
      <c r="Y8" s="21">
        <f t="shared" si="0"/>
        <v>5</v>
      </c>
      <c r="Z8" s="21"/>
      <c r="AA8" s="21">
        <f t="shared" si="1"/>
        <v>1</v>
      </c>
      <c r="AB8" s="21">
        <f t="shared" si="1"/>
      </c>
      <c r="AC8" s="21">
        <f t="shared" si="1"/>
        <v>1</v>
      </c>
      <c r="AD8" s="21">
        <f t="shared" si="1"/>
        <v>5</v>
      </c>
      <c r="AF8" s="6">
        <f t="shared" si="2"/>
      </c>
      <c r="AG8" s="55">
        <f t="shared" si="2"/>
      </c>
      <c r="AH8" s="55">
        <f t="shared" si="2"/>
      </c>
      <c r="AI8" s="55">
        <f t="shared" si="2"/>
        <v>1</v>
      </c>
      <c r="AJ8" s="55"/>
      <c r="AK8" s="55">
        <f t="shared" si="3"/>
      </c>
      <c r="AL8" s="55">
        <f t="shared" si="3"/>
      </c>
      <c r="AM8" s="55">
        <f t="shared" si="3"/>
      </c>
      <c r="AN8" s="55">
        <f t="shared" si="3"/>
        <v>1</v>
      </c>
    </row>
    <row r="9" spans="1:40" ht="28.5" customHeight="1">
      <c r="A9" s="28">
        <v>3</v>
      </c>
      <c r="B9" s="42" t="str">
        <f>CONCATENATE(VLOOKUP(R9,clubs,2,)," ",S9)</f>
        <v>Counties Manukau 1</v>
      </c>
      <c r="C9" s="16" t="str">
        <f>IF(ISBLANK(E7),"",CONCATENATE(RIGHT(E7),"-",LEFT(E7)))</f>
        <v>1-4</v>
      </c>
      <c r="D9" s="16" t="str">
        <f>IF(ISBLANK(E8),"",CONCATENATE(RIGHT(E8),"-",LEFT(E8)))</f>
        <v>1-4</v>
      </c>
      <c r="E9" s="20"/>
      <c r="F9" s="3" t="s">
        <v>365</v>
      </c>
      <c r="G9" s="7">
        <f>IF(COUNT(V9:Y9)&gt;0,SUM(AF9:AI9),"")</f>
        <v>1</v>
      </c>
      <c r="H9" s="7">
        <f>IF(COUNT(G9:G9)&gt;0,IF(SUM(G$7:G$10)&gt;0,RANK(G9,G$7:G$10,0),""),"")</f>
        <v>3</v>
      </c>
      <c r="J9" s="28">
        <v>3</v>
      </c>
      <c r="K9" s="60" t="str">
        <f>CONCATENATE(VLOOKUP(T9,clubs,2,)," ",U9)</f>
        <v>Counties Manukau 2</v>
      </c>
      <c r="L9" s="16" t="str">
        <f>IF(ISBLANK(N7),"",CONCATENATE(RIGHT(N7),"-",LEFT(N7)))</f>
        <v>2-3</v>
      </c>
      <c r="M9" s="16" t="str">
        <f>IF(ISBLANK(N8),"",CONCATENATE(RIGHT(N8),"-",LEFT(N8)))</f>
        <v>4-1</v>
      </c>
      <c r="N9" s="20"/>
      <c r="O9" s="3" t="s">
        <v>366</v>
      </c>
      <c r="P9" s="7">
        <v>2</v>
      </c>
      <c r="Q9" s="7">
        <f>IF(COUNT(P9:P9)&gt;0,IF(SUM(P$7:P$10)&gt;0,RANK(P9,P$7:P$10,0),""),"")</f>
        <v>2</v>
      </c>
      <c r="R9" s="6" t="s">
        <v>187</v>
      </c>
      <c r="S9" s="6">
        <v>1</v>
      </c>
      <c r="T9" s="6" t="s">
        <v>187</v>
      </c>
      <c r="U9" s="6">
        <v>2</v>
      </c>
      <c r="V9" s="21">
        <f t="shared" si="0"/>
        <v>1</v>
      </c>
      <c r="W9" s="21">
        <f t="shared" si="0"/>
        <v>1</v>
      </c>
      <c r="X9" s="21">
        <f t="shared" si="0"/>
      </c>
      <c r="Y9" s="21">
        <f t="shared" si="0"/>
        <v>5</v>
      </c>
      <c r="Z9" s="21"/>
      <c r="AA9" s="21">
        <f t="shared" si="1"/>
        <v>2</v>
      </c>
      <c r="AB9" s="21">
        <f t="shared" si="1"/>
        <v>4</v>
      </c>
      <c r="AC9" s="21">
        <f t="shared" si="1"/>
      </c>
      <c r="AD9" s="21">
        <f t="shared" si="1"/>
        <v>4</v>
      </c>
      <c r="AF9" s="6">
        <f t="shared" si="2"/>
      </c>
      <c r="AG9" s="55">
        <f t="shared" si="2"/>
      </c>
      <c r="AH9" s="55">
        <f t="shared" si="2"/>
      </c>
      <c r="AI9" s="55">
        <f t="shared" si="2"/>
        <v>1</v>
      </c>
      <c r="AJ9" s="55"/>
      <c r="AK9" s="55">
        <f t="shared" si="3"/>
      </c>
      <c r="AL9" s="55">
        <f t="shared" si="3"/>
      </c>
      <c r="AM9" s="55">
        <f t="shared" si="3"/>
      </c>
      <c r="AN9" s="55">
        <f t="shared" si="3"/>
      </c>
    </row>
    <row r="10" spans="1:40" ht="28.5" customHeight="1">
      <c r="A10" s="28">
        <v>4</v>
      </c>
      <c r="B10" s="42" t="s">
        <v>202</v>
      </c>
      <c r="C10" s="16" t="str">
        <f>IF(ISBLANK(F7),"",CONCATENATE(RIGHT(F7),"-",LEFT(F7)))</f>
        <v>0-5</v>
      </c>
      <c r="D10" s="16" t="str">
        <f>IF(ISBLANK(F8),"",CONCATENATE(RIGHT(F8),"-",LEFT(F8)))</f>
        <v>0-5</v>
      </c>
      <c r="E10" s="16" t="str">
        <f>IF(ISBLANK(F9),"",CONCATENATE(RIGHT(F9),"-",LEFT(F9)))</f>
        <v>0-5</v>
      </c>
      <c r="F10" s="20"/>
      <c r="G10" s="7">
        <f>IF(COUNT(V10:Y10)&gt;0,SUM(AF10:AI10),"")</f>
        <v>0</v>
      </c>
      <c r="H10" s="7">
        <f>IF(COUNT(G10:G10)&gt;0,IF(SUM(G$7:G$10)&gt;0,RANK(G10,G$7:G$10,0),""),"")</f>
        <v>4</v>
      </c>
      <c r="J10" s="28">
        <v>4</v>
      </c>
      <c r="K10" s="60" t="str">
        <f>CONCATENATE(VLOOKUP(T10,clubs,2,)," ",U10)</f>
        <v>North Harbour 2</v>
      </c>
      <c r="L10" s="16" t="str">
        <f>IF(ISBLANK(O7),"",CONCATENATE(RIGHT(O7),"-",LEFT(O7)))</f>
        <v>0-5</v>
      </c>
      <c r="M10" s="16" t="str">
        <f>IF(ISBLANK(O8),"",CONCATENATE(RIGHT(O8),"-",LEFT(O8)))</f>
        <v>0-5</v>
      </c>
      <c r="N10" s="16" t="str">
        <f>IF(ISBLANK(O9),"",CONCATENATE(RIGHT(O9),"-",LEFT(O9)))</f>
        <v>1-4</v>
      </c>
      <c r="O10" s="20"/>
      <c r="P10" s="7">
        <f>IF(COUNT(AA10:AD10)&gt;0,SUM(AK10:AN10),"")</f>
        <v>0</v>
      </c>
      <c r="Q10" s="7">
        <f>IF(COUNT(P10:P10)&gt;0,IF(SUM(P$7:P$10)&gt;0,RANK(P10,P$7:P$10,0),""),"")</f>
        <v>4</v>
      </c>
      <c r="T10" s="6" t="s">
        <v>178</v>
      </c>
      <c r="U10" s="6">
        <v>2</v>
      </c>
      <c r="V10" s="21">
        <f t="shared" si="0"/>
        <v>0</v>
      </c>
      <c r="W10" s="21">
        <f t="shared" si="0"/>
        <v>0</v>
      </c>
      <c r="X10" s="21">
        <f t="shared" si="0"/>
        <v>0</v>
      </c>
      <c r="Y10" s="21">
        <f t="shared" si="0"/>
      </c>
      <c r="Z10" s="21"/>
      <c r="AA10" s="21">
        <f t="shared" si="1"/>
        <v>0</v>
      </c>
      <c r="AB10" s="21">
        <f t="shared" si="1"/>
        <v>0</v>
      </c>
      <c r="AC10" s="21">
        <f t="shared" si="1"/>
        <v>1</v>
      </c>
      <c r="AD10" s="21">
        <f t="shared" si="1"/>
      </c>
      <c r="AF10" s="6">
        <f t="shared" si="2"/>
      </c>
      <c r="AG10" s="55">
        <f t="shared" si="2"/>
      </c>
      <c r="AH10" s="55">
        <f t="shared" si="2"/>
      </c>
      <c r="AI10" s="55">
        <f t="shared" si="2"/>
      </c>
      <c r="AJ10" s="55"/>
      <c r="AK10" s="55">
        <f t="shared" si="3"/>
      </c>
      <c r="AL10" s="55">
        <f t="shared" si="3"/>
      </c>
      <c r="AM10" s="55">
        <f t="shared" si="3"/>
      </c>
      <c r="AN10" s="55">
        <f t="shared" si="3"/>
      </c>
    </row>
    <row r="11" spans="18:21" ht="28.5" customHeight="1">
      <c r="R11" s="6" t="s">
        <v>182</v>
      </c>
      <c r="S11" s="6" t="s">
        <v>201</v>
      </c>
      <c r="T11" s="6" t="s">
        <v>182</v>
      </c>
      <c r="U11" s="6" t="s">
        <v>201</v>
      </c>
    </row>
    <row r="12" spans="2:22" ht="28.5" customHeight="1">
      <c r="B12" s="28" t="s">
        <v>9</v>
      </c>
      <c r="C12" s="114" t="str">
        <f>CONCATENATE("Table ",R12)</f>
        <v>Table 3</v>
      </c>
      <c r="D12" s="115"/>
      <c r="E12" s="114" t="str">
        <f>CONCATENATE("Table ",T12)</f>
        <v>Table 4</v>
      </c>
      <c r="F12" s="115"/>
      <c r="G12" s="28" t="str">
        <f>CONCATENATE("Table ",V12)</f>
        <v>Table 5</v>
      </c>
      <c r="H12" s="28" t="s">
        <v>202</v>
      </c>
      <c r="R12" s="6">
        <v>3</v>
      </c>
      <c r="T12" s="6">
        <v>4</v>
      </c>
      <c r="V12" s="6">
        <v>5</v>
      </c>
    </row>
    <row r="13" spans="2:20" ht="28.5" customHeight="1">
      <c r="B13" s="28" t="s">
        <v>212</v>
      </c>
      <c r="C13" s="108" t="s">
        <v>47</v>
      </c>
      <c r="D13" s="108"/>
      <c r="E13" s="108" t="s">
        <v>45</v>
      </c>
      <c r="F13" s="108"/>
      <c r="G13" s="43" t="s">
        <v>46</v>
      </c>
      <c r="H13" s="43" t="s">
        <v>221</v>
      </c>
      <c r="K13" s="69"/>
      <c r="S13" s="6">
        <f>W2</f>
        <v>6</v>
      </c>
      <c r="T13" s="6" t="s">
        <v>2</v>
      </c>
    </row>
    <row r="14" spans="2:19" ht="28.5" customHeight="1">
      <c r="B14" s="28" t="s">
        <v>213</v>
      </c>
      <c r="C14" s="108" t="s">
        <v>49</v>
      </c>
      <c r="D14" s="108"/>
      <c r="E14" s="108" t="s">
        <v>50</v>
      </c>
      <c r="F14" s="108"/>
      <c r="G14" s="29" t="s">
        <v>43</v>
      </c>
      <c r="H14" s="29" t="s">
        <v>222</v>
      </c>
      <c r="K14" s="69"/>
      <c r="S14" s="6">
        <f>X2</f>
        <v>8</v>
      </c>
    </row>
    <row r="15" spans="2:19" ht="28.5" customHeight="1">
      <c r="B15" s="28" t="s">
        <v>214</v>
      </c>
      <c r="C15" s="108" t="s">
        <v>54</v>
      </c>
      <c r="D15" s="108"/>
      <c r="E15" s="108" t="s">
        <v>51</v>
      </c>
      <c r="F15" s="108"/>
      <c r="G15" s="29" t="s">
        <v>53</v>
      </c>
      <c r="H15" s="29" t="s">
        <v>223</v>
      </c>
      <c r="K15" s="69"/>
      <c r="S15" s="6">
        <f>Y2</f>
        <v>12</v>
      </c>
    </row>
    <row r="16" spans="2:19" ht="28.5" customHeight="1">
      <c r="B16" s="44"/>
      <c r="C16" s="45"/>
      <c r="D16" s="45"/>
      <c r="E16" s="45"/>
      <c r="F16" s="45"/>
      <c r="K16" s="44"/>
      <c r="L16" s="45"/>
      <c r="M16" s="45"/>
      <c r="N16" s="45"/>
      <c r="O16" s="45"/>
      <c r="S16" s="6" t="s">
        <v>2</v>
      </c>
    </row>
    <row r="17" spans="1:10" ht="28.5" customHeight="1">
      <c r="A17" s="38" t="s">
        <v>55</v>
      </c>
      <c r="I17" s="39" t="s">
        <v>27</v>
      </c>
      <c r="J17" s="38" t="s">
        <v>66</v>
      </c>
    </row>
    <row r="18" spans="2:17" ht="28.5" customHeight="1">
      <c r="B18" s="99" t="s">
        <v>64</v>
      </c>
      <c r="C18" s="99"/>
      <c r="D18" s="71"/>
      <c r="E18" s="71"/>
      <c r="F18" s="71"/>
      <c r="G18" s="71"/>
      <c r="H18" s="72"/>
      <c r="K18" s="70" t="s">
        <v>65</v>
      </c>
      <c r="L18" s="99"/>
      <c r="M18" s="77"/>
      <c r="N18" s="77"/>
      <c r="O18" s="77"/>
      <c r="P18" s="77"/>
      <c r="Q18" s="78"/>
    </row>
    <row r="19" spans="1:40" ht="28.5" customHeight="1">
      <c r="A19" s="28" t="s">
        <v>56</v>
      </c>
      <c r="B19" s="4" t="str">
        <f>IF(SUM($G$7:$G$10)=6,INDEX($B$7:$B$10,MATCH(1,$H$7:$H$10,0)),"")</f>
        <v>Auckland 1</v>
      </c>
      <c r="C19" s="101" t="s">
        <v>374</v>
      </c>
      <c r="D19" s="74"/>
      <c r="E19" s="74"/>
      <c r="F19" s="75"/>
      <c r="G19" s="76"/>
      <c r="H19" s="76"/>
      <c r="J19" s="28" t="s">
        <v>60</v>
      </c>
      <c r="K19" s="4" t="str">
        <f>IF(SUM($G$7:$G$10)=6,INDEX($B$7:$B$10,MATCH(3,$H$7:$H$10,0)),"")</f>
        <v>Counties Manukau 1</v>
      </c>
      <c r="L19" s="101" t="s">
        <v>372</v>
      </c>
      <c r="M19" s="80"/>
      <c r="N19" s="80"/>
      <c r="O19" s="81"/>
      <c r="P19" s="82"/>
      <c r="Q19" s="82"/>
      <c r="V19" s="21">
        <f aca="true" t="shared" si="4" ref="V19:Y23">IF(C19="","",VALUE(LEFT(C19)))</f>
        <v>3</v>
      </c>
      <c r="W19" s="21">
        <f t="shared" si="4"/>
      </c>
      <c r="X19" s="21">
        <f t="shared" si="4"/>
      </c>
      <c r="Y19" s="21">
        <f t="shared" si="4"/>
      </c>
      <c r="Z19" s="21"/>
      <c r="AA19" s="21">
        <f aca="true" t="shared" si="5" ref="AA19:AD23">IF(L19="","",VALUE(LEFT(L19)))</f>
        <v>4</v>
      </c>
      <c r="AB19" s="21">
        <f t="shared" si="5"/>
      </c>
      <c r="AC19" s="21">
        <f t="shared" si="5"/>
      </c>
      <c r="AD19" s="21">
        <f t="shared" si="5"/>
      </c>
      <c r="AF19" s="6">
        <f aca="true" t="shared" si="6" ref="AF19:AI23">IF(C19="","",IF(V19&gt;$W$6,1,""))</f>
      </c>
      <c r="AG19" s="55">
        <f t="shared" si="6"/>
      </c>
      <c r="AH19" s="55">
        <f t="shared" si="6"/>
      </c>
      <c r="AI19" s="55">
        <f t="shared" si="6"/>
      </c>
      <c r="AJ19" s="55"/>
      <c r="AK19" s="55">
        <f aca="true" t="shared" si="7" ref="AK19:AN23">IF(L19="","",IF(AA19&gt;$W$6,1,""))</f>
      </c>
      <c r="AL19" s="55">
        <f t="shared" si="7"/>
      </c>
      <c r="AM19" s="55">
        <f t="shared" si="7"/>
      </c>
      <c r="AN19" s="55">
        <f t="shared" si="7"/>
      </c>
    </row>
    <row r="20" spans="1:40" ht="28.5" customHeight="1">
      <c r="A20" s="28" t="s">
        <v>57</v>
      </c>
      <c r="B20" s="4" t="str">
        <f>IF(SUM($P$7:$P$10)=6,INDEX($K$7:$K$10,MATCH(1,$Q$7:$Q$10,0)),"")</f>
        <v>Auckland 2</v>
      </c>
      <c r="C20" s="101" t="s">
        <v>375</v>
      </c>
      <c r="D20" s="73"/>
      <c r="E20" s="75"/>
      <c r="F20" s="74"/>
      <c r="G20" s="76"/>
      <c r="H20" s="76"/>
      <c r="J20" s="28" t="s">
        <v>61</v>
      </c>
      <c r="K20" s="4" t="str">
        <f>IF(SUM($P$7:$P$10)=6,INDEX($K$7:$K$10,MATCH(3,$Q$7:$Q$10,0)),"")</f>
        <v>Waikato 1</v>
      </c>
      <c r="L20" s="101" t="s">
        <v>373</v>
      </c>
      <c r="M20" s="79"/>
      <c r="N20" s="83"/>
      <c r="O20" s="80"/>
      <c r="P20" s="82"/>
      <c r="Q20" s="82"/>
      <c r="V20" s="21">
        <f t="shared" si="4"/>
        <v>2</v>
      </c>
      <c r="W20" s="21">
        <f t="shared" si="4"/>
      </c>
      <c r="X20" s="21">
        <f t="shared" si="4"/>
      </c>
      <c r="Y20" s="21">
        <f t="shared" si="4"/>
      </c>
      <c r="Z20" s="21"/>
      <c r="AA20" s="21">
        <f t="shared" si="5"/>
        <v>1</v>
      </c>
      <c r="AB20" s="21">
        <f t="shared" si="5"/>
      </c>
      <c r="AC20" s="21">
        <f t="shared" si="5"/>
      </c>
      <c r="AD20" s="21">
        <f t="shared" si="5"/>
      </c>
      <c r="AF20" s="6">
        <f t="shared" si="6"/>
      </c>
      <c r="AG20" s="55">
        <f t="shared" si="6"/>
      </c>
      <c r="AH20" s="55">
        <f t="shared" si="6"/>
      </c>
      <c r="AI20" s="55">
        <f t="shared" si="6"/>
      </c>
      <c r="AJ20" s="55"/>
      <c r="AK20" s="55">
        <f t="shared" si="7"/>
      </c>
      <c r="AL20" s="55">
        <f t="shared" si="7"/>
      </c>
      <c r="AM20" s="55">
        <f t="shared" si="7"/>
      </c>
      <c r="AN20" s="55">
        <f t="shared" si="7"/>
      </c>
    </row>
    <row r="21" spans="1:40" ht="28.5" customHeight="1">
      <c r="A21" s="44"/>
      <c r="B21" s="96"/>
      <c r="C21" s="73"/>
      <c r="D21" s="73"/>
      <c r="E21" s="75"/>
      <c r="F21" s="74"/>
      <c r="G21" s="76"/>
      <c r="H21" s="76"/>
      <c r="I21" s="17"/>
      <c r="J21" s="44"/>
      <c r="K21" s="96"/>
      <c r="L21" s="79"/>
      <c r="M21" s="79"/>
      <c r="N21" s="83"/>
      <c r="O21" s="80"/>
      <c r="P21" s="82"/>
      <c r="Q21" s="82"/>
      <c r="V21" s="21"/>
      <c r="W21" s="21"/>
      <c r="X21" s="21"/>
      <c r="Y21" s="21"/>
      <c r="Z21" s="21"/>
      <c r="AA21" s="21"/>
      <c r="AB21" s="21"/>
      <c r="AC21" s="21"/>
      <c r="AD21" s="21"/>
      <c r="AG21" s="55"/>
      <c r="AH21" s="55"/>
      <c r="AI21" s="55"/>
      <c r="AJ21" s="55"/>
      <c r="AK21" s="55"/>
      <c r="AL21" s="55"/>
      <c r="AM21" s="55"/>
      <c r="AN21" s="55"/>
    </row>
    <row r="22" spans="1:40" ht="28.5" customHeight="1">
      <c r="A22" s="28" t="s">
        <v>58</v>
      </c>
      <c r="B22" s="4" t="str">
        <f>IF(SUM($P$7:$P$10)=6,INDEX($K$7:$K$10,MATCH(2,$Q$7:$Q$10,0)),"")</f>
        <v>Counties Manukau 2</v>
      </c>
      <c r="C22" s="101" t="s">
        <v>376</v>
      </c>
      <c r="D22" s="75"/>
      <c r="E22" s="73"/>
      <c r="F22" s="74"/>
      <c r="G22" s="76"/>
      <c r="H22" s="76"/>
      <c r="J22" s="28" t="s">
        <v>62</v>
      </c>
      <c r="K22" s="4" t="str">
        <f>IF(SUM($P$7:$P$10)=6,INDEX($K$7:$K$10,MATCH(4,$Q$7:$Q$10,0)),"")</f>
        <v>North Harbour 2</v>
      </c>
      <c r="L22" s="101" t="s">
        <v>377</v>
      </c>
      <c r="M22" s="83"/>
      <c r="N22" s="79"/>
      <c r="O22" s="80"/>
      <c r="P22" s="82"/>
      <c r="Q22" s="82"/>
      <c r="V22" s="21">
        <f t="shared" si="4"/>
        <v>0</v>
      </c>
      <c r="W22" s="21">
        <f t="shared" si="4"/>
      </c>
      <c r="X22" s="21">
        <f t="shared" si="4"/>
      </c>
      <c r="Y22" s="21">
        <f t="shared" si="4"/>
      </c>
      <c r="Z22" s="21"/>
      <c r="AA22" s="21">
        <f t="shared" si="5"/>
        <v>5</v>
      </c>
      <c r="AB22" s="21">
        <f t="shared" si="5"/>
      </c>
      <c r="AC22" s="21">
        <f t="shared" si="5"/>
      </c>
      <c r="AD22" s="21">
        <f t="shared" si="5"/>
      </c>
      <c r="AF22" s="6">
        <f t="shared" si="6"/>
      </c>
      <c r="AG22" s="55">
        <f t="shared" si="6"/>
      </c>
      <c r="AH22" s="55">
        <f t="shared" si="6"/>
      </c>
      <c r="AI22" s="55">
        <f t="shared" si="6"/>
      </c>
      <c r="AJ22" s="55"/>
      <c r="AK22" s="55">
        <f t="shared" si="7"/>
        <v>1</v>
      </c>
      <c r="AL22" s="55">
        <f t="shared" si="7"/>
      </c>
      <c r="AM22" s="55">
        <f t="shared" si="7"/>
      </c>
      <c r="AN22" s="55">
        <f t="shared" si="7"/>
      </c>
    </row>
    <row r="23" spans="1:40" ht="28.5" customHeight="1">
      <c r="A23" s="28" t="s">
        <v>59</v>
      </c>
      <c r="B23" s="4" t="str">
        <f>IF(SUM($G$7:$G$10)=6,INDEX($B$7:$B$10,MATCH(2,$H$7:$H$10,0)),"")</f>
        <v>North Harbour 1</v>
      </c>
      <c r="C23" s="100">
        <v>5</v>
      </c>
      <c r="D23" s="73"/>
      <c r="E23" s="73"/>
      <c r="F23" s="73"/>
      <c r="G23" s="76"/>
      <c r="H23" s="76"/>
      <c r="J23" s="28" t="s">
        <v>63</v>
      </c>
      <c r="K23" s="4" t="str">
        <f>IF(SUM($G$7:$G$10)=6,INDEX($B$7:$B$10,MATCH(4,$H$7:$H$10,0)),"")</f>
        <v>Bye</v>
      </c>
      <c r="L23" s="100">
        <v>0</v>
      </c>
      <c r="M23" s="79"/>
      <c r="N23" s="79"/>
      <c r="O23" s="79"/>
      <c r="P23" s="82"/>
      <c r="Q23" s="82"/>
      <c r="V23" s="21">
        <f t="shared" si="4"/>
        <v>5</v>
      </c>
      <c r="W23" s="21">
        <f t="shared" si="4"/>
      </c>
      <c r="X23" s="21">
        <f t="shared" si="4"/>
      </c>
      <c r="Y23" s="21">
        <f t="shared" si="4"/>
      </c>
      <c r="Z23" s="21"/>
      <c r="AA23" s="21">
        <f t="shared" si="5"/>
        <v>0</v>
      </c>
      <c r="AB23" s="21">
        <f t="shared" si="5"/>
      </c>
      <c r="AC23" s="21">
        <f t="shared" si="5"/>
      </c>
      <c r="AD23" s="21">
        <f t="shared" si="5"/>
      </c>
      <c r="AF23" s="6">
        <f t="shared" si="6"/>
        <v>1</v>
      </c>
      <c r="AG23" s="55">
        <f t="shared" si="6"/>
      </c>
      <c r="AH23" s="55">
        <f t="shared" si="6"/>
      </c>
      <c r="AI23" s="55">
        <f t="shared" si="6"/>
      </c>
      <c r="AJ23" s="55"/>
      <c r="AK23" s="55">
        <f t="shared" si="7"/>
      </c>
      <c r="AL23" s="55">
        <f t="shared" si="7"/>
      </c>
      <c r="AM23" s="55">
        <f t="shared" si="7"/>
      </c>
      <c r="AN23" s="55">
        <f t="shared" si="7"/>
      </c>
    </row>
    <row r="24" ht="28.5" customHeight="1">
      <c r="N24" s="6" t="s">
        <v>2</v>
      </c>
    </row>
    <row r="25" spans="2:24" ht="28.5" customHeight="1">
      <c r="B25" s="28" t="s">
        <v>9</v>
      </c>
      <c r="C25" s="114" t="str">
        <f>CONCATENATE("Table ",R25)</f>
        <v>Table 3</v>
      </c>
      <c r="D25" s="115"/>
      <c r="E25" s="114" t="str">
        <f>CONCATENATE("Table ",T25)</f>
        <v>Table 4</v>
      </c>
      <c r="F25" s="115"/>
      <c r="K25" s="28" t="s">
        <v>9</v>
      </c>
      <c r="L25" s="114" t="str">
        <f>CONCATENATE("Table ",V25)</f>
        <v>Table 5</v>
      </c>
      <c r="M25" s="115"/>
      <c r="N25" s="114" t="s">
        <v>202</v>
      </c>
      <c r="O25" s="115"/>
      <c r="R25" s="6">
        <f>R12</f>
        <v>3</v>
      </c>
      <c r="T25" s="6">
        <f>R25+1</f>
        <v>4</v>
      </c>
      <c r="V25" s="6">
        <f>T25+1</f>
        <v>5</v>
      </c>
      <c r="W25" s="6" t="s">
        <v>2</v>
      </c>
      <c r="X25" s="6">
        <f>V25+1</f>
        <v>6</v>
      </c>
    </row>
    <row r="26" spans="2:19" ht="28.5" customHeight="1">
      <c r="B26" s="28" t="s">
        <v>215</v>
      </c>
      <c r="C26" s="108" t="s">
        <v>35</v>
      </c>
      <c r="D26" s="108"/>
      <c r="E26" s="108" t="s">
        <v>36</v>
      </c>
      <c r="F26" s="108"/>
      <c r="K26" s="28" t="s">
        <v>215</v>
      </c>
      <c r="L26" s="108" t="s">
        <v>224</v>
      </c>
      <c r="M26" s="108"/>
      <c r="N26" s="108" t="s">
        <v>83</v>
      </c>
      <c r="O26" s="108"/>
      <c r="S26" s="6">
        <f>Z2</f>
        <v>14</v>
      </c>
    </row>
    <row r="27" spans="2:15" ht="28.5" customHeight="1">
      <c r="B27" s="44"/>
      <c r="K27" s="44"/>
      <c r="L27" s="45"/>
      <c r="M27" s="45"/>
      <c r="N27" s="45"/>
      <c r="O27" s="45"/>
    </row>
    <row r="28" ht="28.5" customHeight="1"/>
    <row r="29" ht="12.75">
      <c r="B29" s="31" t="s">
        <v>30</v>
      </c>
    </row>
    <row r="31" ht="12.75">
      <c r="B31" s="6" t="s">
        <v>34</v>
      </c>
    </row>
    <row r="32" ht="12.75">
      <c r="B32" s="6" t="s">
        <v>217</v>
      </c>
    </row>
    <row r="33" ht="12.75">
      <c r="B33" s="6" t="s">
        <v>33</v>
      </c>
    </row>
  </sheetData>
  <sheetProtection/>
  <mergeCells count="19">
    <mergeCell ref="L25:M25"/>
    <mergeCell ref="N25:O25"/>
    <mergeCell ref="L26:M26"/>
    <mergeCell ref="N26:O26"/>
    <mergeCell ref="C14:D14"/>
    <mergeCell ref="E14:F14"/>
    <mergeCell ref="A1:Q1"/>
    <mergeCell ref="A2:Q2"/>
    <mergeCell ref="A3:Q3"/>
    <mergeCell ref="C13:D13"/>
    <mergeCell ref="E13:F13"/>
    <mergeCell ref="C12:D12"/>
    <mergeCell ref="E12:F12"/>
    <mergeCell ref="C26:D26"/>
    <mergeCell ref="E26:F26"/>
    <mergeCell ref="E15:F15"/>
    <mergeCell ref="C25:D25"/>
    <mergeCell ref="E25:F25"/>
    <mergeCell ref="C15:D15"/>
  </mergeCells>
  <printOptions horizontalCentered="1" verticalCentered="1"/>
  <pageMargins left="0.3937007874015748" right="0.3937007874015748" top="0.7874015748031497" bottom="0.7874015748031497" header="0.3937007874015748" footer="0.3937007874015748"/>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 Jackson</dc:creator>
  <cp:keywords/>
  <dc:description/>
  <cp:lastModifiedBy>ATTA</cp:lastModifiedBy>
  <cp:lastPrinted>2010-06-02T02:42:32Z</cp:lastPrinted>
  <dcterms:created xsi:type="dcterms:W3CDTF">2004-09-05T09:42:20Z</dcterms:created>
  <dcterms:modified xsi:type="dcterms:W3CDTF">2010-06-02T02:44:06Z</dcterms:modified>
  <cp:category/>
  <cp:version/>
  <cp:contentType/>
  <cp:contentStatus/>
</cp:coreProperties>
</file>